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ssis.bello\Desktop\LISTADOS DE PARTIDAS - SONIA\"/>
    </mc:Choice>
  </mc:AlternateContent>
  <bookViews>
    <workbookView xWindow="0" yWindow="0" windowWidth="20730" windowHeight="11730"/>
  </bookViews>
  <sheets>
    <sheet name="las tejas" sheetId="9" r:id="rId1"/>
    <sheet name="movimiento de tierra " sheetId="4" r:id="rId2"/>
    <sheet name="ANALISIS" sheetId="6" r:id="rId3"/>
  </sheets>
  <externalReferences>
    <externalReference r:id="rId4"/>
  </externalReferences>
  <definedNames>
    <definedName name="_xlnm._FilterDatabase" localSheetId="0" hidden="1">'las tejas'!$A$11:$F$143</definedName>
    <definedName name="_xlnm.Print_Area" localSheetId="0">'las tejas'!$A$1:$F$194</definedName>
    <definedName name="INSUMO_1">'[1]AC. LOS LIMONES ACERO '!$D$2</definedName>
    <definedName name="_xlnm.Print_Titles" localSheetId="0">'las tejas'!$1:$10</definedName>
  </definedNames>
  <calcPr calcId="162913"/>
</workbook>
</file>

<file path=xl/calcChain.xml><?xml version="1.0" encoding="utf-8"?>
<calcChain xmlns="http://schemas.openxmlformats.org/spreadsheetml/2006/main">
  <c r="D333" i="4" l="1"/>
  <c r="J333" i="4" s="1"/>
  <c r="D332" i="4"/>
  <c r="F333" i="4"/>
  <c r="F332" i="4"/>
  <c r="J323" i="4"/>
  <c r="D375" i="4"/>
  <c r="G375" i="4" s="1"/>
  <c r="G374" i="4"/>
  <c r="D374" i="4"/>
  <c r="D373" i="4"/>
  <c r="G373" i="4" s="1"/>
  <c r="G372" i="4"/>
  <c r="D372" i="4"/>
  <c r="D371" i="4"/>
  <c r="G371" i="4" s="1"/>
  <c r="G370" i="4"/>
  <c r="D370" i="4"/>
  <c r="D369" i="4"/>
  <c r="G369" i="4" s="1"/>
  <c r="G368" i="4"/>
  <c r="D368" i="4"/>
  <c r="D367" i="4"/>
  <c r="G367" i="4" s="1"/>
  <c r="G366" i="4"/>
  <c r="D366" i="4"/>
  <c r="D365" i="4"/>
  <c r="G365" i="4" s="1"/>
  <c r="G364" i="4"/>
  <c r="D364" i="4"/>
  <c r="D363" i="4"/>
  <c r="G363" i="4" s="1"/>
  <c r="G362" i="4"/>
  <c r="D362" i="4"/>
  <c r="G359" i="4"/>
  <c r="P347" i="4"/>
  <c r="M347" i="4"/>
  <c r="J347" i="4"/>
  <c r="G347" i="4"/>
  <c r="P346" i="4"/>
  <c r="M346" i="4"/>
  <c r="J346" i="4"/>
  <c r="G346" i="4"/>
  <c r="P345" i="4"/>
  <c r="M345" i="4"/>
  <c r="J345" i="4"/>
  <c r="G345" i="4"/>
  <c r="P344" i="4"/>
  <c r="M344" i="4"/>
  <c r="J344" i="4"/>
  <c r="G344" i="4"/>
  <c r="P343" i="4"/>
  <c r="M343" i="4"/>
  <c r="J343" i="4"/>
  <c r="G343" i="4"/>
  <c r="P342" i="4"/>
  <c r="M342" i="4"/>
  <c r="J342" i="4"/>
  <c r="G342" i="4"/>
  <c r="P341" i="4"/>
  <c r="M341" i="4"/>
  <c r="J341" i="4"/>
  <c r="G341" i="4"/>
  <c r="P340" i="4"/>
  <c r="M340" i="4"/>
  <c r="J340" i="4"/>
  <c r="G340" i="4"/>
  <c r="P339" i="4"/>
  <c r="M339" i="4"/>
  <c r="J339" i="4"/>
  <c r="G339" i="4"/>
  <c r="P338" i="4"/>
  <c r="M338" i="4"/>
  <c r="J338" i="4"/>
  <c r="G338" i="4"/>
  <c r="P337" i="4"/>
  <c r="M337" i="4"/>
  <c r="J337" i="4"/>
  <c r="G337" i="4"/>
  <c r="P336" i="4"/>
  <c r="M336" i="4"/>
  <c r="J336" i="4"/>
  <c r="G336" i="4"/>
  <c r="P335" i="4"/>
  <c r="M335" i="4"/>
  <c r="J335" i="4"/>
  <c r="G335" i="4"/>
  <c r="M334" i="4"/>
  <c r="J334" i="4"/>
  <c r="G334" i="4"/>
  <c r="P333" i="4"/>
  <c r="M333" i="4"/>
  <c r="M332" i="4"/>
  <c r="J332" i="4"/>
  <c r="D360" i="4"/>
  <c r="G360" i="4" s="1"/>
  <c r="P331" i="4"/>
  <c r="M331" i="4"/>
  <c r="J331" i="4"/>
  <c r="G331" i="4"/>
  <c r="P330" i="4"/>
  <c r="M330" i="4"/>
  <c r="J330" i="4"/>
  <c r="G330" i="4"/>
  <c r="C225" i="4"/>
  <c r="G333" i="4" l="1"/>
  <c r="D361" i="4"/>
  <c r="G361" i="4" s="1"/>
  <c r="J350" i="4"/>
  <c r="M350" i="4"/>
  <c r="G332" i="4"/>
  <c r="G350" i="4" s="1"/>
  <c r="P332" i="4"/>
  <c r="P350" i="4" s="1"/>
  <c r="D348" i="4"/>
  <c r="F324" i="4"/>
  <c r="C324" i="4"/>
  <c r="C323" i="4"/>
  <c r="F323" i="4" s="1"/>
  <c r="F322" i="4"/>
  <c r="C322" i="4"/>
  <c r="C321" i="4"/>
  <c r="F321" i="4" s="1"/>
  <c r="F320" i="4"/>
  <c r="C320" i="4"/>
  <c r="C319" i="4"/>
  <c r="F319" i="4" s="1"/>
  <c r="F318" i="4"/>
  <c r="C318" i="4"/>
  <c r="C317" i="4"/>
  <c r="F317" i="4" s="1"/>
  <c r="F316" i="4"/>
  <c r="C316" i="4"/>
  <c r="C315" i="4"/>
  <c r="F315" i="4" s="1"/>
  <c r="F314" i="4"/>
  <c r="C314" i="4"/>
  <c r="C313" i="4"/>
  <c r="F313" i="4" s="1"/>
  <c r="F312" i="4"/>
  <c r="C312" i="4"/>
  <c r="C311" i="4"/>
  <c r="F311" i="4" s="1"/>
  <c r="F310" i="4"/>
  <c r="C310" i="4"/>
  <c r="C309" i="4"/>
  <c r="F309" i="4" s="1"/>
  <c r="F308" i="4"/>
  <c r="C297" i="4"/>
  <c r="O296" i="4"/>
  <c r="L296" i="4"/>
  <c r="I296" i="4"/>
  <c r="F296" i="4"/>
  <c r="O295" i="4"/>
  <c r="L295" i="4"/>
  <c r="I295" i="4"/>
  <c r="F295" i="4"/>
  <c r="O294" i="4"/>
  <c r="L294" i="4"/>
  <c r="I294" i="4"/>
  <c r="F294" i="4"/>
  <c r="O293" i="4"/>
  <c r="L293" i="4"/>
  <c r="I293" i="4"/>
  <c r="F293" i="4"/>
  <c r="O292" i="4"/>
  <c r="L292" i="4"/>
  <c r="I292" i="4"/>
  <c r="F292" i="4"/>
  <c r="O291" i="4"/>
  <c r="L291" i="4"/>
  <c r="I291" i="4"/>
  <c r="F291" i="4"/>
  <c r="O290" i="4"/>
  <c r="L290" i="4"/>
  <c r="I290" i="4"/>
  <c r="F290" i="4"/>
  <c r="O289" i="4"/>
  <c r="L289" i="4"/>
  <c r="I289" i="4"/>
  <c r="F289" i="4"/>
  <c r="O288" i="4"/>
  <c r="L288" i="4"/>
  <c r="I288" i="4"/>
  <c r="F288" i="4"/>
  <c r="O287" i="4"/>
  <c r="L287" i="4"/>
  <c r="I287" i="4"/>
  <c r="F287" i="4"/>
  <c r="O286" i="4"/>
  <c r="L286" i="4"/>
  <c r="I286" i="4"/>
  <c r="F286" i="4"/>
  <c r="O285" i="4"/>
  <c r="L285" i="4"/>
  <c r="I285" i="4"/>
  <c r="F285" i="4"/>
  <c r="O284" i="4"/>
  <c r="L284" i="4"/>
  <c r="I284" i="4"/>
  <c r="F284" i="4"/>
  <c r="L283" i="4"/>
  <c r="I283" i="4"/>
  <c r="F283" i="4"/>
  <c r="O282" i="4"/>
  <c r="L282" i="4"/>
  <c r="I282" i="4"/>
  <c r="F282" i="4"/>
  <c r="O281" i="4"/>
  <c r="L281" i="4"/>
  <c r="I281" i="4"/>
  <c r="F281" i="4"/>
  <c r="O280" i="4"/>
  <c r="L280" i="4"/>
  <c r="I280" i="4"/>
  <c r="F280" i="4"/>
  <c r="O279" i="4"/>
  <c r="O299" i="4" s="1"/>
  <c r="L279" i="4"/>
  <c r="L299" i="4" s="1"/>
  <c r="I279" i="4"/>
  <c r="I299" i="4" s="1"/>
  <c r="F279" i="4"/>
  <c r="F299" i="4" s="1"/>
  <c r="C268" i="4"/>
  <c r="F268" i="4" s="1"/>
  <c r="F267" i="4"/>
  <c r="C267" i="4"/>
  <c r="C266" i="4"/>
  <c r="F266" i="4" s="1"/>
  <c r="F265" i="4"/>
  <c r="C265" i="4"/>
  <c r="C264" i="4"/>
  <c r="F264" i="4" s="1"/>
  <c r="F263" i="4"/>
  <c r="C263" i="4"/>
  <c r="C262" i="4"/>
  <c r="F262" i="4" s="1"/>
  <c r="F261" i="4"/>
  <c r="C261" i="4"/>
  <c r="C260" i="4"/>
  <c r="F260" i="4" s="1"/>
  <c r="F259" i="4"/>
  <c r="C259" i="4"/>
  <c r="C258" i="4"/>
  <c r="F258" i="4" s="1"/>
  <c r="F257" i="4"/>
  <c r="C257" i="4"/>
  <c r="C256" i="4"/>
  <c r="F256" i="4" s="1"/>
  <c r="F255" i="4"/>
  <c r="C255" i="4"/>
  <c r="C254" i="4"/>
  <c r="F254" i="4" s="1"/>
  <c r="F252" i="4"/>
  <c r="O240" i="4"/>
  <c r="L240" i="4"/>
  <c r="I240" i="4"/>
  <c r="F240" i="4"/>
  <c r="O239" i="4"/>
  <c r="L239" i="4"/>
  <c r="I239" i="4"/>
  <c r="F239" i="4"/>
  <c r="O238" i="4"/>
  <c r="L238" i="4"/>
  <c r="I238" i="4"/>
  <c r="F238" i="4"/>
  <c r="O237" i="4"/>
  <c r="L237" i="4"/>
  <c r="I237" i="4"/>
  <c r="F237" i="4"/>
  <c r="O236" i="4"/>
  <c r="L236" i="4"/>
  <c r="I236" i="4"/>
  <c r="F236" i="4"/>
  <c r="O235" i="4"/>
  <c r="L235" i="4"/>
  <c r="I235" i="4"/>
  <c r="F235" i="4"/>
  <c r="O234" i="4"/>
  <c r="L234" i="4"/>
  <c r="I234" i="4"/>
  <c r="F234" i="4"/>
  <c r="O233" i="4"/>
  <c r="L233" i="4"/>
  <c r="I233" i="4"/>
  <c r="F233" i="4"/>
  <c r="O232" i="4"/>
  <c r="L232" i="4"/>
  <c r="I232" i="4"/>
  <c r="F232" i="4"/>
  <c r="O231" i="4"/>
  <c r="L231" i="4"/>
  <c r="I231" i="4"/>
  <c r="F231" i="4"/>
  <c r="O230" i="4"/>
  <c r="L230" i="4"/>
  <c r="I230" i="4"/>
  <c r="F230" i="4"/>
  <c r="O229" i="4"/>
  <c r="L229" i="4"/>
  <c r="I229" i="4"/>
  <c r="F229" i="4"/>
  <c r="O228" i="4"/>
  <c r="L228" i="4"/>
  <c r="I228" i="4"/>
  <c r="F228" i="4"/>
  <c r="L227" i="4"/>
  <c r="I227" i="4"/>
  <c r="F227" i="4"/>
  <c r="L226" i="4"/>
  <c r="I226" i="4"/>
  <c r="F226" i="4"/>
  <c r="O226" i="4"/>
  <c r="L225" i="4"/>
  <c r="L243" i="4" s="1"/>
  <c r="I225" i="4"/>
  <c r="O224" i="4"/>
  <c r="L224" i="4"/>
  <c r="I224" i="4"/>
  <c r="F224" i="4"/>
  <c r="O223" i="4"/>
  <c r="L223" i="4"/>
  <c r="I223" i="4"/>
  <c r="F223" i="4"/>
  <c r="M360" i="4" l="1"/>
  <c r="M357" i="4"/>
  <c r="J352" i="4"/>
  <c r="J354" i="4" s="1"/>
  <c r="M359" i="4"/>
  <c r="I243" i="4"/>
  <c r="L306" i="4"/>
  <c r="I304" i="4" s="1"/>
  <c r="I301" i="4"/>
  <c r="I303" i="4" s="1"/>
  <c r="I305" i="4" s="1"/>
  <c r="O225" i="4"/>
  <c r="O243" i="4" s="1"/>
  <c r="F225" i="4"/>
  <c r="F243" i="4" s="1"/>
  <c r="C241" i="4"/>
  <c r="C253" i="4"/>
  <c r="F253" i="4" s="1"/>
  <c r="J355" i="4" l="1"/>
  <c r="J356" i="4"/>
  <c r="L250" i="4"/>
  <c r="I245" i="4"/>
  <c r="L253" i="4"/>
  <c r="L252" i="4"/>
  <c r="I247" i="4" l="1"/>
  <c r="I248" i="4"/>
  <c r="I249" i="4" l="1"/>
  <c r="C119" i="4" l="1"/>
  <c r="C118" i="4"/>
  <c r="Q117" i="4" l="1"/>
  <c r="Q118" i="4"/>
  <c r="I88" i="4"/>
  <c r="O90" i="4"/>
  <c r="L90" i="4"/>
  <c r="L91" i="4"/>
  <c r="L37" i="4" l="1"/>
  <c r="L40" i="4"/>
  <c r="L41" i="4"/>
  <c r="P15" i="4"/>
  <c r="P14" i="4"/>
  <c r="P13" i="4"/>
  <c r="E751" i="6" l="1"/>
  <c r="E752" i="6"/>
  <c r="G745" i="6"/>
  <c r="H745" i="6" s="1"/>
  <c r="B482" i="6"/>
  <c r="E482" i="6" s="1"/>
  <c r="B475" i="6"/>
  <c r="E475" i="6" s="1"/>
  <c r="E595" i="6" l="1"/>
  <c r="E583" i="6"/>
  <c r="B634" i="6"/>
  <c r="E634" i="6" s="1"/>
  <c r="B648" i="6"/>
  <c r="E648" i="6" s="1"/>
  <c r="B654" i="6"/>
  <c r="E654" i="6" s="1"/>
  <c r="F447" i="6"/>
  <c r="H447" i="6"/>
  <c r="F448" i="6"/>
  <c r="F449" i="6"/>
  <c r="F450" i="6"/>
  <c r="G494" i="6"/>
  <c r="F1444" i="6"/>
  <c r="F1451" i="6"/>
  <c r="E389" i="6"/>
  <c r="E460" i="6" l="1"/>
  <c r="E459" i="6"/>
  <c r="E458" i="6"/>
  <c r="E457" i="6"/>
  <c r="E456" i="6"/>
  <c r="E462" i="6" l="1"/>
  <c r="E160" i="6"/>
  <c r="E161" i="6"/>
  <c r="E1556" i="6"/>
  <c r="E1555" i="6"/>
  <c r="E1554" i="6"/>
  <c r="E1553" i="6"/>
  <c r="E1552" i="6"/>
  <c r="E1551" i="6"/>
  <c r="E1557" i="6" l="1"/>
  <c r="E1559" i="6" s="1"/>
  <c r="E853" i="6" l="1"/>
  <c r="E852" i="6"/>
  <c r="E851" i="6"/>
  <c r="E850" i="6"/>
  <c r="E849" i="6"/>
  <c r="B844" i="6"/>
  <c r="E841" i="6"/>
  <c r="E840" i="6"/>
  <c r="E839" i="6"/>
  <c r="E838" i="6"/>
  <c r="E837" i="6"/>
  <c r="D842" i="6" l="1"/>
  <c r="E842" i="6" s="1"/>
  <c r="E843" i="6" s="1"/>
  <c r="E845" i="6" s="1"/>
  <c r="D854" i="6"/>
  <c r="E854" i="6" s="1"/>
  <c r="E855" i="6" s="1"/>
  <c r="E857" i="6" s="1"/>
  <c r="D67" i="4" l="1"/>
  <c r="D1544" i="6"/>
  <c r="E1544" i="6" s="1"/>
  <c r="E1543" i="6"/>
  <c r="B1540" i="6"/>
  <c r="E1540" i="6" s="1"/>
  <c r="E1541" i="6" s="1"/>
  <c r="E1535" i="6"/>
  <c r="E1534" i="6"/>
  <c r="E1533" i="6"/>
  <c r="E1532" i="6"/>
  <c r="E1531" i="6"/>
  <c r="E1530" i="6"/>
  <c r="E1529" i="6"/>
  <c r="E1545" i="6" l="1"/>
  <c r="E1546" i="6" s="1"/>
  <c r="E1536" i="6"/>
  <c r="E1537" i="6" s="1"/>
  <c r="E1547" i="6" l="1"/>
  <c r="E738" i="6" l="1"/>
  <c r="E737" i="6"/>
  <c r="E736" i="6"/>
  <c r="E735" i="6"/>
  <c r="E734" i="6"/>
  <c r="E705" i="6"/>
  <c r="E704" i="6"/>
  <c r="E703" i="6"/>
  <c r="E702" i="6"/>
  <c r="D717" i="6"/>
  <c r="E717" i="6" s="1"/>
  <c r="E715" i="6"/>
  <c r="D716" i="6" s="1"/>
  <c r="E716" i="6" s="1"/>
  <c r="E714" i="6"/>
  <c r="E728" i="6"/>
  <c r="E726" i="6"/>
  <c r="E725" i="6"/>
  <c r="E695" i="6"/>
  <c r="E694" i="6"/>
  <c r="E691" i="6"/>
  <c r="E692" i="6" s="1"/>
  <c r="E706" i="6" l="1"/>
  <c r="E708" i="6" s="1"/>
  <c r="D729" i="6" s="1"/>
  <c r="E729" i="6" s="1"/>
  <c r="E739" i="6"/>
  <c r="E741" i="6" s="1"/>
  <c r="E718" i="6"/>
  <c r="E720" i="6" s="1"/>
  <c r="D727" i="6" s="1"/>
  <c r="E727" i="6" s="1"/>
  <c r="E696" i="6"/>
  <c r="E697" i="6" s="1"/>
  <c r="E698" i="6" s="1"/>
  <c r="E730" i="6" l="1"/>
  <c r="E684" i="6"/>
  <c r="E683" i="6"/>
  <c r="E682" i="6"/>
  <c r="E681" i="6"/>
  <c r="E685" i="6" l="1"/>
  <c r="E686" i="6" s="1"/>
  <c r="E450" i="6" l="1"/>
  <c r="E447" i="6"/>
  <c r="E448" i="6"/>
  <c r="E449" i="6"/>
  <c r="E446" i="6"/>
  <c r="E452" i="6" l="1"/>
  <c r="E666" i="6" l="1"/>
  <c r="E665" i="6"/>
  <c r="D667" i="6" l="1"/>
  <c r="E667" i="6" s="1"/>
  <c r="E668" i="6" s="1"/>
  <c r="B372" i="6" l="1"/>
  <c r="B378" i="6"/>
  <c r="B381" i="6" s="1"/>
  <c r="B535" i="6" l="1"/>
  <c r="E535" i="6" s="1"/>
  <c r="B529" i="6"/>
  <c r="E529" i="6" s="1"/>
  <c r="B544" i="6"/>
  <c r="E544" i="6" s="1"/>
  <c r="E560" i="6"/>
  <c r="E559" i="6"/>
  <c r="E558" i="6"/>
  <c r="E556" i="6"/>
  <c r="E543" i="6"/>
  <c r="E542" i="6"/>
  <c r="E541" i="6"/>
  <c r="C217" i="4" l="1"/>
  <c r="F217" i="4" s="1"/>
  <c r="C216" i="4"/>
  <c r="F216" i="4" s="1"/>
  <c r="C215" i="4"/>
  <c r="F215" i="4" s="1"/>
  <c r="C214" i="4"/>
  <c r="F214" i="4" s="1"/>
  <c r="C213" i="4"/>
  <c r="F213" i="4" s="1"/>
  <c r="C212" i="4"/>
  <c r="F212" i="4" s="1"/>
  <c r="C211" i="4"/>
  <c r="F211" i="4" s="1"/>
  <c r="C210" i="4"/>
  <c r="F210" i="4" s="1"/>
  <c r="C209" i="4"/>
  <c r="F209" i="4" s="1"/>
  <c r="C208" i="4"/>
  <c r="F208" i="4" s="1"/>
  <c r="C207" i="4"/>
  <c r="F207" i="4" s="1"/>
  <c r="C206" i="4"/>
  <c r="F206" i="4" s="1"/>
  <c r="C205" i="4"/>
  <c r="F205" i="4" s="1"/>
  <c r="C204" i="4"/>
  <c r="F204" i="4" s="1"/>
  <c r="C203" i="4"/>
  <c r="F203" i="4" s="1"/>
  <c r="C202" i="4"/>
  <c r="F202" i="4" s="1"/>
  <c r="F201" i="4"/>
  <c r="C190" i="4"/>
  <c r="O189" i="4"/>
  <c r="L189" i="4"/>
  <c r="I189" i="4"/>
  <c r="F189" i="4"/>
  <c r="O188" i="4"/>
  <c r="L188" i="4"/>
  <c r="I188" i="4"/>
  <c r="F188" i="4"/>
  <c r="O187" i="4"/>
  <c r="L187" i="4"/>
  <c r="I187" i="4"/>
  <c r="F187" i="4"/>
  <c r="O186" i="4"/>
  <c r="L186" i="4"/>
  <c r="I186" i="4"/>
  <c r="F186" i="4"/>
  <c r="O185" i="4"/>
  <c r="L185" i="4"/>
  <c r="I185" i="4"/>
  <c r="F185" i="4"/>
  <c r="O184" i="4"/>
  <c r="L184" i="4"/>
  <c r="I184" i="4"/>
  <c r="F184" i="4"/>
  <c r="O183" i="4"/>
  <c r="L183" i="4"/>
  <c r="I183" i="4"/>
  <c r="F183" i="4"/>
  <c r="O182" i="4"/>
  <c r="L182" i="4"/>
  <c r="I182" i="4"/>
  <c r="F182" i="4"/>
  <c r="O181" i="4"/>
  <c r="L181" i="4"/>
  <c r="I181" i="4"/>
  <c r="F181" i="4"/>
  <c r="O180" i="4"/>
  <c r="L180" i="4"/>
  <c r="I180" i="4"/>
  <c r="F180" i="4"/>
  <c r="O179" i="4"/>
  <c r="L179" i="4"/>
  <c r="I179" i="4"/>
  <c r="F179" i="4"/>
  <c r="O178" i="4"/>
  <c r="L178" i="4"/>
  <c r="I178" i="4"/>
  <c r="F178" i="4"/>
  <c r="O177" i="4"/>
  <c r="L177" i="4"/>
  <c r="I177" i="4"/>
  <c r="F177" i="4"/>
  <c r="L176" i="4"/>
  <c r="I176" i="4"/>
  <c r="F176" i="4"/>
  <c r="O175" i="4"/>
  <c r="L175" i="4"/>
  <c r="I175" i="4"/>
  <c r="F175" i="4"/>
  <c r="O174" i="4"/>
  <c r="L174" i="4"/>
  <c r="I174" i="4"/>
  <c r="F174" i="4"/>
  <c r="O173" i="4"/>
  <c r="L173" i="4"/>
  <c r="I173" i="4"/>
  <c r="F173" i="4"/>
  <c r="O172" i="4"/>
  <c r="O192" i="4" s="1"/>
  <c r="L172" i="4"/>
  <c r="I172" i="4"/>
  <c r="F172" i="4"/>
  <c r="F192" i="4" l="1"/>
  <c r="I192" i="4"/>
  <c r="L192" i="4"/>
  <c r="L199" i="4"/>
  <c r="I197" i="4" s="1"/>
  <c r="I194" i="4" l="1"/>
  <c r="I196" i="4" s="1"/>
  <c r="I198" i="4" l="1"/>
  <c r="E1524" i="6" l="1"/>
  <c r="E1523" i="6"/>
  <c r="E1522" i="6"/>
  <c r="E1521" i="6"/>
  <c r="E1520" i="6"/>
  <c r="B1516" i="6"/>
  <c r="E1516" i="6" s="1"/>
  <c r="E1510" i="6"/>
  <c r="B1502" i="6"/>
  <c r="E1502" i="6" s="1"/>
  <c r="B1496" i="6"/>
  <c r="E1496" i="6" s="1"/>
  <c r="E1525" i="6" l="1"/>
  <c r="E1476" i="6" l="1"/>
  <c r="E1477" i="6"/>
  <c r="E1475" i="6" l="1"/>
  <c r="E1478" i="6" s="1"/>
  <c r="E262" i="6"/>
  <c r="E263" i="6"/>
  <c r="E264" i="6"/>
  <c r="E261" i="6"/>
  <c r="B237" i="6"/>
  <c r="E236" i="6"/>
  <c r="E235" i="6"/>
  <c r="E233" i="6"/>
  <c r="B496" i="6"/>
  <c r="E496" i="6" s="1"/>
  <c r="B490" i="6"/>
  <c r="E490" i="6" s="1"/>
  <c r="E519" i="6"/>
  <c r="E518" i="6"/>
  <c r="E517" i="6"/>
  <c r="E515" i="6"/>
  <c r="B513" i="6"/>
  <c r="E503" i="6"/>
  <c r="B502" i="6"/>
  <c r="E502" i="6" s="1"/>
  <c r="E501" i="6"/>
  <c r="D380" i="6"/>
  <c r="E380" i="6" s="1"/>
  <c r="E381" i="6"/>
  <c r="B375" i="6"/>
  <c r="E375" i="6" s="1"/>
  <c r="B359" i="6"/>
  <c r="D439" i="6"/>
  <c r="E439" i="6" s="1"/>
  <c r="E438" i="6"/>
  <c r="B504" i="6" l="1"/>
  <c r="E504" i="6" s="1"/>
  <c r="D440" i="6"/>
  <c r="E440" i="6" s="1"/>
  <c r="E441" i="6" s="1"/>
  <c r="E442" i="6" s="1"/>
  <c r="E443" i="6" l="1"/>
  <c r="B426" i="6" l="1"/>
  <c r="B420" i="6"/>
  <c r="C146" i="4" l="1"/>
  <c r="F146" i="4" s="1"/>
  <c r="C161" i="4"/>
  <c r="F161" i="4" s="1"/>
  <c r="C160" i="4"/>
  <c r="F160" i="4" s="1"/>
  <c r="C159" i="4"/>
  <c r="F159" i="4" s="1"/>
  <c r="C158" i="4"/>
  <c r="F158" i="4" s="1"/>
  <c r="C157" i="4"/>
  <c r="F157" i="4" s="1"/>
  <c r="C156" i="4"/>
  <c r="F156" i="4" s="1"/>
  <c r="C155" i="4"/>
  <c r="F155" i="4" s="1"/>
  <c r="C154" i="4"/>
  <c r="F154" i="4" s="1"/>
  <c r="C153" i="4"/>
  <c r="F153" i="4" s="1"/>
  <c r="C152" i="4"/>
  <c r="F152" i="4" s="1"/>
  <c r="C151" i="4"/>
  <c r="F151" i="4" s="1"/>
  <c r="C150" i="4"/>
  <c r="F150" i="4" s="1"/>
  <c r="C149" i="4"/>
  <c r="F149" i="4" s="1"/>
  <c r="C148" i="4"/>
  <c r="F148" i="4" s="1"/>
  <c r="C147" i="4"/>
  <c r="F147" i="4" s="1"/>
  <c r="F145" i="4"/>
  <c r="C134" i="4"/>
  <c r="O133" i="4"/>
  <c r="L133" i="4"/>
  <c r="I133" i="4"/>
  <c r="F133" i="4"/>
  <c r="O132" i="4"/>
  <c r="L132" i="4"/>
  <c r="I132" i="4"/>
  <c r="F132" i="4"/>
  <c r="O131" i="4"/>
  <c r="L131" i="4"/>
  <c r="I131" i="4"/>
  <c r="F131" i="4"/>
  <c r="O130" i="4"/>
  <c r="L130" i="4"/>
  <c r="I130" i="4"/>
  <c r="F130" i="4"/>
  <c r="O129" i="4"/>
  <c r="L129" i="4"/>
  <c r="I129" i="4"/>
  <c r="F129" i="4"/>
  <c r="O128" i="4"/>
  <c r="L128" i="4"/>
  <c r="I128" i="4"/>
  <c r="F128" i="4"/>
  <c r="O127" i="4"/>
  <c r="L127" i="4"/>
  <c r="I127" i="4"/>
  <c r="F127" i="4"/>
  <c r="O126" i="4"/>
  <c r="L126" i="4"/>
  <c r="I126" i="4"/>
  <c r="F126" i="4"/>
  <c r="O125" i="4"/>
  <c r="L125" i="4"/>
  <c r="I125" i="4"/>
  <c r="F125" i="4"/>
  <c r="O124" i="4"/>
  <c r="L124" i="4"/>
  <c r="I124" i="4"/>
  <c r="F124" i="4"/>
  <c r="O123" i="4"/>
  <c r="L123" i="4"/>
  <c r="I123" i="4"/>
  <c r="F123" i="4"/>
  <c r="O122" i="4"/>
  <c r="L122" i="4"/>
  <c r="I122" i="4"/>
  <c r="F122" i="4"/>
  <c r="O121" i="4"/>
  <c r="L121" i="4"/>
  <c r="I121" i="4"/>
  <c r="F121" i="4"/>
  <c r="L120" i="4"/>
  <c r="I120" i="4"/>
  <c r="F120" i="4"/>
  <c r="O119" i="4"/>
  <c r="L119" i="4"/>
  <c r="I119" i="4"/>
  <c r="F119" i="4"/>
  <c r="O118" i="4"/>
  <c r="L118" i="4"/>
  <c r="I118" i="4"/>
  <c r="F118" i="4"/>
  <c r="O117" i="4"/>
  <c r="L117" i="4"/>
  <c r="I117" i="4"/>
  <c r="F117" i="4"/>
  <c r="O116" i="4"/>
  <c r="L116" i="4"/>
  <c r="I116" i="4"/>
  <c r="F116" i="4"/>
  <c r="F136" i="4" l="1"/>
  <c r="L136" i="4"/>
  <c r="O136" i="4"/>
  <c r="I136" i="4"/>
  <c r="C108" i="4"/>
  <c r="F108" i="4" s="1"/>
  <c r="C107" i="4"/>
  <c r="F107" i="4" s="1"/>
  <c r="C106" i="4"/>
  <c r="F106" i="4" s="1"/>
  <c r="C105" i="4"/>
  <c r="F105" i="4" s="1"/>
  <c r="C104" i="4"/>
  <c r="F104" i="4" s="1"/>
  <c r="C103" i="4"/>
  <c r="F103" i="4" s="1"/>
  <c r="C102" i="4"/>
  <c r="F102" i="4" s="1"/>
  <c r="C101" i="4"/>
  <c r="F101" i="4" s="1"/>
  <c r="C100" i="4"/>
  <c r="F100" i="4" s="1"/>
  <c r="C99" i="4"/>
  <c r="F99" i="4" s="1"/>
  <c r="C98" i="4"/>
  <c r="F98" i="4" s="1"/>
  <c r="C97" i="4"/>
  <c r="F97" i="4" s="1"/>
  <c r="C96" i="4"/>
  <c r="F96" i="4" s="1"/>
  <c r="C95" i="4"/>
  <c r="F95" i="4" s="1"/>
  <c r="C94" i="4"/>
  <c r="F94" i="4" s="1"/>
  <c r="F93" i="4"/>
  <c r="F92" i="4"/>
  <c r="C81" i="4"/>
  <c r="O80" i="4"/>
  <c r="L80" i="4"/>
  <c r="I80" i="4"/>
  <c r="F80" i="4"/>
  <c r="O79" i="4"/>
  <c r="L79" i="4"/>
  <c r="I79" i="4"/>
  <c r="F79" i="4"/>
  <c r="O78" i="4"/>
  <c r="L78" i="4"/>
  <c r="I78" i="4"/>
  <c r="F78" i="4"/>
  <c r="O77" i="4"/>
  <c r="L77" i="4"/>
  <c r="I77" i="4"/>
  <c r="F77" i="4"/>
  <c r="O76" i="4"/>
  <c r="L76" i="4"/>
  <c r="I76" i="4"/>
  <c r="F76" i="4"/>
  <c r="O75" i="4"/>
  <c r="L75" i="4"/>
  <c r="I75" i="4"/>
  <c r="F75" i="4"/>
  <c r="O74" i="4"/>
  <c r="L74" i="4"/>
  <c r="I74" i="4"/>
  <c r="F74" i="4"/>
  <c r="O73" i="4"/>
  <c r="L73" i="4"/>
  <c r="I73" i="4"/>
  <c r="F73" i="4"/>
  <c r="O72" i="4"/>
  <c r="L72" i="4"/>
  <c r="I72" i="4"/>
  <c r="F72" i="4"/>
  <c r="O71" i="4"/>
  <c r="L71" i="4"/>
  <c r="I71" i="4"/>
  <c r="F71" i="4"/>
  <c r="O70" i="4"/>
  <c r="L70" i="4"/>
  <c r="I70" i="4"/>
  <c r="F70" i="4"/>
  <c r="O69" i="4"/>
  <c r="L69" i="4"/>
  <c r="I69" i="4"/>
  <c r="F69" i="4"/>
  <c r="O68" i="4"/>
  <c r="L68" i="4"/>
  <c r="I68" i="4"/>
  <c r="F68" i="4"/>
  <c r="L67" i="4"/>
  <c r="I67" i="4"/>
  <c r="F67" i="4"/>
  <c r="O66" i="4"/>
  <c r="L66" i="4"/>
  <c r="I66" i="4"/>
  <c r="F66" i="4"/>
  <c r="O65" i="4"/>
  <c r="L65" i="4"/>
  <c r="I65" i="4"/>
  <c r="F65" i="4"/>
  <c r="O64" i="4"/>
  <c r="L64" i="4"/>
  <c r="I64" i="4"/>
  <c r="F64" i="4"/>
  <c r="O63" i="4"/>
  <c r="L63" i="4"/>
  <c r="I63" i="4"/>
  <c r="I83" i="4" s="1"/>
  <c r="F63" i="4"/>
  <c r="L143" i="4" l="1"/>
  <c r="L146" i="4"/>
  <c r="L145" i="4"/>
  <c r="L83" i="4"/>
  <c r="O83" i="4"/>
  <c r="I138" i="4"/>
  <c r="F83" i="4"/>
  <c r="I141" i="4"/>
  <c r="E434" i="6"/>
  <c r="E433" i="6"/>
  <c r="E432" i="6"/>
  <c r="E431" i="6"/>
  <c r="E430" i="6"/>
  <c r="E426" i="6"/>
  <c r="E420" i="6"/>
  <c r="B412" i="6"/>
  <c r="E412" i="6" s="1"/>
  <c r="B406" i="6"/>
  <c r="E406" i="6" s="1"/>
  <c r="L96" i="4" l="1"/>
  <c r="L92" i="4"/>
  <c r="L93" i="4" s="1"/>
  <c r="I140" i="4"/>
  <c r="I142" i="4" s="1"/>
  <c r="I85" i="4"/>
  <c r="E435" i="6"/>
  <c r="I87" i="4" l="1"/>
  <c r="I89" i="4" l="1"/>
  <c r="E1463" i="6" l="1"/>
  <c r="E1462" i="6"/>
  <c r="E1459" i="6"/>
  <c r="E1458" i="6"/>
  <c r="E1456" i="6"/>
  <c r="B1451" i="6"/>
  <c r="E1451" i="6" s="1"/>
  <c r="B1445" i="6"/>
  <c r="E1445" i="6" s="1"/>
  <c r="C828" i="4"/>
  <c r="F828" i="4" s="1"/>
  <c r="C827" i="4"/>
  <c r="F827" i="4" s="1"/>
  <c r="C826" i="4"/>
  <c r="F826" i="4" s="1"/>
  <c r="C825" i="4"/>
  <c r="F825" i="4" s="1"/>
  <c r="C824" i="4"/>
  <c r="F824" i="4" s="1"/>
  <c r="C823" i="4"/>
  <c r="F823" i="4" s="1"/>
  <c r="C822" i="4"/>
  <c r="F822" i="4" s="1"/>
  <c r="C821" i="4"/>
  <c r="F821" i="4" s="1"/>
  <c r="C820" i="4"/>
  <c r="F820" i="4" s="1"/>
  <c r="C819" i="4"/>
  <c r="F819" i="4" s="1"/>
  <c r="C818" i="4"/>
  <c r="F818" i="4" s="1"/>
  <c r="C817" i="4"/>
  <c r="F817" i="4" s="1"/>
  <c r="C816" i="4"/>
  <c r="F816" i="4" s="1"/>
  <c r="C815" i="4"/>
  <c r="F815" i="4" s="1"/>
  <c r="C814" i="4"/>
  <c r="F814" i="4" s="1"/>
  <c r="C813" i="4"/>
  <c r="F813" i="4" s="1"/>
  <c r="F812" i="4"/>
  <c r="C801" i="4"/>
  <c r="O800" i="4"/>
  <c r="L800" i="4"/>
  <c r="I800" i="4"/>
  <c r="F800" i="4"/>
  <c r="O799" i="4"/>
  <c r="L799" i="4"/>
  <c r="I799" i="4"/>
  <c r="F799" i="4"/>
  <c r="O798" i="4"/>
  <c r="L798" i="4"/>
  <c r="I798" i="4"/>
  <c r="F798" i="4"/>
  <c r="O797" i="4"/>
  <c r="L797" i="4"/>
  <c r="I797" i="4"/>
  <c r="F797" i="4"/>
  <c r="O796" i="4"/>
  <c r="L796" i="4"/>
  <c r="I796" i="4"/>
  <c r="F796" i="4"/>
  <c r="O795" i="4"/>
  <c r="L795" i="4"/>
  <c r="I795" i="4"/>
  <c r="F795" i="4"/>
  <c r="O794" i="4"/>
  <c r="L794" i="4"/>
  <c r="I794" i="4"/>
  <c r="F794" i="4"/>
  <c r="O793" i="4"/>
  <c r="L793" i="4"/>
  <c r="I793" i="4"/>
  <c r="F793" i="4"/>
  <c r="O792" i="4"/>
  <c r="L792" i="4"/>
  <c r="I792" i="4"/>
  <c r="F792" i="4"/>
  <c r="O791" i="4"/>
  <c r="L791" i="4"/>
  <c r="I791" i="4"/>
  <c r="F791" i="4"/>
  <c r="O790" i="4"/>
  <c r="L790" i="4"/>
  <c r="I790" i="4"/>
  <c r="F790" i="4"/>
  <c r="O789" i="4"/>
  <c r="L789" i="4"/>
  <c r="I789" i="4"/>
  <c r="F789" i="4"/>
  <c r="O788" i="4"/>
  <c r="L788" i="4"/>
  <c r="I788" i="4"/>
  <c r="F788" i="4"/>
  <c r="L787" i="4"/>
  <c r="F787" i="4"/>
  <c r="O786" i="4"/>
  <c r="L786" i="4"/>
  <c r="F786" i="4"/>
  <c r="O785" i="4"/>
  <c r="L785" i="4"/>
  <c r="I785" i="4"/>
  <c r="F785" i="4"/>
  <c r="O784" i="4"/>
  <c r="L784" i="4"/>
  <c r="F784" i="4"/>
  <c r="O783" i="4"/>
  <c r="L783" i="4"/>
  <c r="I783" i="4"/>
  <c r="F783" i="4"/>
  <c r="O782" i="4"/>
  <c r="L782" i="4"/>
  <c r="I782" i="4"/>
  <c r="F782" i="4"/>
  <c r="Q408" i="4"/>
  <c r="C775" i="4"/>
  <c r="F775" i="4" s="1"/>
  <c r="C774" i="4"/>
  <c r="F774" i="4" s="1"/>
  <c r="C773" i="4"/>
  <c r="F773" i="4" s="1"/>
  <c r="C772" i="4"/>
  <c r="F772" i="4" s="1"/>
  <c r="C771" i="4"/>
  <c r="F771" i="4" s="1"/>
  <c r="C770" i="4"/>
  <c r="F770" i="4" s="1"/>
  <c r="C769" i="4"/>
  <c r="F769" i="4" s="1"/>
  <c r="C768" i="4"/>
  <c r="F768" i="4" s="1"/>
  <c r="C767" i="4"/>
  <c r="F767" i="4" s="1"/>
  <c r="C766" i="4"/>
  <c r="F766" i="4" s="1"/>
  <c r="C765" i="4"/>
  <c r="F765" i="4" s="1"/>
  <c r="C764" i="4"/>
  <c r="F764" i="4" s="1"/>
  <c r="C763" i="4"/>
  <c r="F763" i="4" s="1"/>
  <c r="C762" i="4"/>
  <c r="F762" i="4" s="1"/>
  <c r="C761" i="4"/>
  <c r="F761" i="4" s="1"/>
  <c r="C760" i="4"/>
  <c r="F760" i="4" s="1"/>
  <c r="F759" i="4"/>
  <c r="C748" i="4"/>
  <c r="O747" i="4"/>
  <c r="L747" i="4"/>
  <c r="I747" i="4"/>
  <c r="F747" i="4"/>
  <c r="O746" i="4"/>
  <c r="L746" i="4"/>
  <c r="I746" i="4"/>
  <c r="F746" i="4"/>
  <c r="O745" i="4"/>
  <c r="L745" i="4"/>
  <c r="I745" i="4"/>
  <c r="F745" i="4"/>
  <c r="O744" i="4"/>
  <c r="L744" i="4"/>
  <c r="I744" i="4"/>
  <c r="F744" i="4"/>
  <c r="O743" i="4"/>
  <c r="L743" i="4"/>
  <c r="I743" i="4"/>
  <c r="F743" i="4"/>
  <c r="O742" i="4"/>
  <c r="L742" i="4"/>
  <c r="I742" i="4"/>
  <c r="F742" i="4"/>
  <c r="O741" i="4"/>
  <c r="L741" i="4"/>
  <c r="I741" i="4"/>
  <c r="F741" i="4"/>
  <c r="O740" i="4"/>
  <c r="L740" i="4"/>
  <c r="I740" i="4"/>
  <c r="F740" i="4"/>
  <c r="O739" i="4"/>
  <c r="L739" i="4"/>
  <c r="I739" i="4"/>
  <c r="F739" i="4"/>
  <c r="O738" i="4"/>
  <c r="L738" i="4"/>
  <c r="I738" i="4"/>
  <c r="F738" i="4"/>
  <c r="O737" i="4"/>
  <c r="L737" i="4"/>
  <c r="I737" i="4"/>
  <c r="F737" i="4"/>
  <c r="O736" i="4"/>
  <c r="L736" i="4"/>
  <c r="I736" i="4"/>
  <c r="F736" i="4"/>
  <c r="O735" i="4"/>
  <c r="L735" i="4"/>
  <c r="I735" i="4"/>
  <c r="F735" i="4"/>
  <c r="L734" i="4"/>
  <c r="F734" i="4"/>
  <c r="O733" i="4"/>
  <c r="L733" i="4"/>
  <c r="I733" i="4"/>
  <c r="F733" i="4"/>
  <c r="O732" i="4"/>
  <c r="L732" i="4"/>
  <c r="I732" i="4"/>
  <c r="F732" i="4"/>
  <c r="O731" i="4"/>
  <c r="L731" i="4"/>
  <c r="F731" i="4"/>
  <c r="O730" i="4"/>
  <c r="L730" i="4"/>
  <c r="I730" i="4"/>
  <c r="F730" i="4"/>
  <c r="O729" i="4"/>
  <c r="L729" i="4"/>
  <c r="I729" i="4"/>
  <c r="F729" i="4"/>
  <c r="O750" i="4" l="1"/>
  <c r="I803" i="4"/>
  <c r="L803" i="4"/>
  <c r="O803" i="4"/>
  <c r="F803" i="4"/>
  <c r="I812" i="4" s="1"/>
  <c r="F750" i="4"/>
  <c r="K760" i="4" s="1"/>
  <c r="L760" i="4" s="1"/>
  <c r="L750" i="4"/>
  <c r="I750" i="4"/>
  <c r="E464" i="4"/>
  <c r="F464" i="4" s="1"/>
  <c r="L464" i="4"/>
  <c r="Q463" i="4"/>
  <c r="C721" i="4"/>
  <c r="F721" i="4" s="1"/>
  <c r="C720" i="4"/>
  <c r="F720" i="4" s="1"/>
  <c r="C719" i="4"/>
  <c r="F719" i="4" s="1"/>
  <c r="C718" i="4"/>
  <c r="F718" i="4" s="1"/>
  <c r="C717" i="4"/>
  <c r="F717" i="4" s="1"/>
  <c r="C716" i="4"/>
  <c r="F716" i="4" s="1"/>
  <c r="C715" i="4"/>
  <c r="F715" i="4" s="1"/>
  <c r="C714" i="4"/>
  <c r="F714" i="4" s="1"/>
  <c r="C713" i="4"/>
  <c r="F713" i="4" s="1"/>
  <c r="C712" i="4"/>
  <c r="F712" i="4" s="1"/>
  <c r="C711" i="4"/>
  <c r="F711" i="4" s="1"/>
  <c r="C710" i="4"/>
  <c r="F710" i="4" s="1"/>
  <c r="C709" i="4"/>
  <c r="F709" i="4" s="1"/>
  <c r="C708" i="4"/>
  <c r="F708" i="4" s="1"/>
  <c r="C707" i="4"/>
  <c r="F707" i="4" s="1"/>
  <c r="C706" i="4"/>
  <c r="F706" i="4" s="1"/>
  <c r="F705" i="4"/>
  <c r="C694" i="4"/>
  <c r="O693" i="4"/>
  <c r="L693" i="4"/>
  <c r="I693" i="4"/>
  <c r="F693" i="4"/>
  <c r="O692" i="4"/>
  <c r="L692" i="4"/>
  <c r="I692" i="4"/>
  <c r="F692" i="4"/>
  <c r="O691" i="4"/>
  <c r="L691" i="4"/>
  <c r="I691" i="4"/>
  <c r="F691" i="4"/>
  <c r="O690" i="4"/>
  <c r="L690" i="4"/>
  <c r="I690" i="4"/>
  <c r="F690" i="4"/>
  <c r="O689" i="4"/>
  <c r="L689" i="4"/>
  <c r="I689" i="4"/>
  <c r="F689" i="4"/>
  <c r="O688" i="4"/>
  <c r="L688" i="4"/>
  <c r="I688" i="4"/>
  <c r="F688" i="4"/>
  <c r="O687" i="4"/>
  <c r="L687" i="4"/>
  <c r="I687" i="4"/>
  <c r="F687" i="4"/>
  <c r="O686" i="4"/>
  <c r="L686" i="4"/>
  <c r="I686" i="4"/>
  <c r="F686" i="4"/>
  <c r="O685" i="4"/>
  <c r="L685" i="4"/>
  <c r="I685" i="4"/>
  <c r="F685" i="4"/>
  <c r="O684" i="4"/>
  <c r="L684" i="4"/>
  <c r="I684" i="4"/>
  <c r="F684" i="4"/>
  <c r="O683" i="4"/>
  <c r="L683" i="4"/>
  <c r="I683" i="4"/>
  <c r="F683" i="4"/>
  <c r="O682" i="4"/>
  <c r="L682" i="4"/>
  <c r="I682" i="4"/>
  <c r="F682" i="4"/>
  <c r="O681" i="4"/>
  <c r="L681" i="4"/>
  <c r="I681" i="4"/>
  <c r="F681" i="4"/>
  <c r="L680" i="4"/>
  <c r="F680" i="4"/>
  <c r="O679" i="4"/>
  <c r="L679" i="4"/>
  <c r="I679" i="4"/>
  <c r="F679" i="4"/>
  <c r="O678" i="4"/>
  <c r="L678" i="4"/>
  <c r="I678" i="4"/>
  <c r="F678" i="4"/>
  <c r="O677" i="4"/>
  <c r="L677" i="4"/>
  <c r="F677" i="4"/>
  <c r="O676" i="4"/>
  <c r="L676" i="4"/>
  <c r="I676" i="4"/>
  <c r="F676" i="4"/>
  <c r="O675" i="4"/>
  <c r="L675" i="4"/>
  <c r="I675" i="4"/>
  <c r="F675" i="4"/>
  <c r="K813" i="4" l="1"/>
  <c r="L813" i="4" s="1"/>
  <c r="I813" i="4"/>
  <c r="I814" i="4"/>
  <c r="I696" i="4"/>
  <c r="I805" i="4"/>
  <c r="I807" i="4" s="1"/>
  <c r="L815" i="4" s="1"/>
  <c r="I761" i="4"/>
  <c r="I760" i="4"/>
  <c r="I759" i="4"/>
  <c r="I752" i="4"/>
  <c r="I754" i="4" s="1"/>
  <c r="L762" i="4" s="1"/>
  <c r="L696" i="4"/>
  <c r="O696" i="4"/>
  <c r="F696" i="4"/>
  <c r="K807" i="4" l="1"/>
  <c r="K754" i="4"/>
  <c r="I707" i="4"/>
  <c r="I698" i="4"/>
  <c r="I705" i="4"/>
  <c r="K706" i="4"/>
  <c r="L706" i="4" s="1"/>
  <c r="I706" i="4"/>
  <c r="I700" i="4" l="1"/>
  <c r="K700" i="4" s="1"/>
  <c r="L708" i="4" l="1"/>
  <c r="C569" i="4" l="1"/>
  <c r="F569" i="4" s="1"/>
  <c r="C667" i="4"/>
  <c r="F667" i="4" s="1"/>
  <c r="C666" i="4"/>
  <c r="F666" i="4" s="1"/>
  <c r="C665" i="4"/>
  <c r="F665" i="4" s="1"/>
  <c r="C664" i="4"/>
  <c r="F664" i="4" s="1"/>
  <c r="C663" i="4"/>
  <c r="F663" i="4" s="1"/>
  <c r="C662" i="4"/>
  <c r="F662" i="4" s="1"/>
  <c r="C661" i="4"/>
  <c r="F661" i="4" s="1"/>
  <c r="C660" i="4"/>
  <c r="F660" i="4" s="1"/>
  <c r="C659" i="4"/>
  <c r="F659" i="4" s="1"/>
  <c r="C658" i="4"/>
  <c r="F658" i="4" s="1"/>
  <c r="C657" i="4"/>
  <c r="F657" i="4" s="1"/>
  <c r="C656" i="4"/>
  <c r="F656" i="4" s="1"/>
  <c r="C655" i="4"/>
  <c r="F655" i="4" s="1"/>
  <c r="C654" i="4"/>
  <c r="F654" i="4" s="1"/>
  <c r="C653" i="4"/>
  <c r="F653" i="4" s="1"/>
  <c r="C652" i="4"/>
  <c r="F652" i="4" s="1"/>
  <c r="F651" i="4"/>
  <c r="C640" i="4"/>
  <c r="O639" i="4"/>
  <c r="L639" i="4"/>
  <c r="I639" i="4"/>
  <c r="F639" i="4"/>
  <c r="O638" i="4"/>
  <c r="L638" i="4"/>
  <c r="I638" i="4"/>
  <c r="F638" i="4"/>
  <c r="O637" i="4"/>
  <c r="L637" i="4"/>
  <c r="I637" i="4"/>
  <c r="F637" i="4"/>
  <c r="O636" i="4"/>
  <c r="L636" i="4"/>
  <c r="I636" i="4"/>
  <c r="F636" i="4"/>
  <c r="O635" i="4"/>
  <c r="L635" i="4"/>
  <c r="I635" i="4"/>
  <c r="F635" i="4"/>
  <c r="O634" i="4"/>
  <c r="L634" i="4"/>
  <c r="I634" i="4"/>
  <c r="F634" i="4"/>
  <c r="O633" i="4"/>
  <c r="L633" i="4"/>
  <c r="I633" i="4"/>
  <c r="F633" i="4"/>
  <c r="O632" i="4"/>
  <c r="L632" i="4"/>
  <c r="I632" i="4"/>
  <c r="F632" i="4"/>
  <c r="O631" i="4"/>
  <c r="L631" i="4"/>
  <c r="I631" i="4"/>
  <c r="F631" i="4"/>
  <c r="O630" i="4"/>
  <c r="L630" i="4"/>
  <c r="I630" i="4"/>
  <c r="F630" i="4"/>
  <c r="O629" i="4"/>
  <c r="L629" i="4"/>
  <c r="I629" i="4"/>
  <c r="F629" i="4"/>
  <c r="O628" i="4"/>
  <c r="L628" i="4"/>
  <c r="I628" i="4"/>
  <c r="F628" i="4"/>
  <c r="O627" i="4"/>
  <c r="L627" i="4"/>
  <c r="I627" i="4"/>
  <c r="F627" i="4"/>
  <c r="L626" i="4"/>
  <c r="F626" i="4"/>
  <c r="O625" i="4"/>
  <c r="L625" i="4"/>
  <c r="I625" i="4"/>
  <c r="F625" i="4"/>
  <c r="O624" i="4"/>
  <c r="L624" i="4"/>
  <c r="I624" i="4"/>
  <c r="F624" i="4"/>
  <c r="O623" i="4"/>
  <c r="L623" i="4"/>
  <c r="F623" i="4"/>
  <c r="O622" i="4"/>
  <c r="L622" i="4"/>
  <c r="I622" i="4"/>
  <c r="F622" i="4"/>
  <c r="O621" i="4"/>
  <c r="L621" i="4"/>
  <c r="I621" i="4"/>
  <c r="F621" i="4"/>
  <c r="C613" i="4"/>
  <c r="F613" i="4" s="1"/>
  <c r="C612" i="4"/>
  <c r="F612" i="4" s="1"/>
  <c r="C611" i="4"/>
  <c r="F611" i="4" s="1"/>
  <c r="C610" i="4"/>
  <c r="F610" i="4" s="1"/>
  <c r="C609" i="4"/>
  <c r="F609" i="4" s="1"/>
  <c r="C608" i="4"/>
  <c r="F608" i="4" s="1"/>
  <c r="C607" i="4"/>
  <c r="F607" i="4" s="1"/>
  <c r="C606" i="4"/>
  <c r="F606" i="4" s="1"/>
  <c r="C605" i="4"/>
  <c r="F605" i="4" s="1"/>
  <c r="C604" i="4"/>
  <c r="F604" i="4" s="1"/>
  <c r="C603" i="4"/>
  <c r="F603" i="4" s="1"/>
  <c r="C602" i="4"/>
  <c r="F602" i="4" s="1"/>
  <c r="C601" i="4"/>
  <c r="F601" i="4" s="1"/>
  <c r="C600" i="4"/>
  <c r="F600" i="4" s="1"/>
  <c r="C599" i="4"/>
  <c r="F599" i="4" s="1"/>
  <c r="F598" i="4"/>
  <c r="F597" i="4"/>
  <c r="O585" i="4"/>
  <c r="L585" i="4"/>
  <c r="I585" i="4"/>
  <c r="F585" i="4"/>
  <c r="O584" i="4"/>
  <c r="L584" i="4"/>
  <c r="I584" i="4"/>
  <c r="F584" i="4"/>
  <c r="O583" i="4"/>
  <c r="L583" i="4"/>
  <c r="I583" i="4"/>
  <c r="F583" i="4"/>
  <c r="O582" i="4"/>
  <c r="L582" i="4"/>
  <c r="I582" i="4"/>
  <c r="F582" i="4"/>
  <c r="O581" i="4"/>
  <c r="L581" i="4"/>
  <c r="I581" i="4"/>
  <c r="F581" i="4"/>
  <c r="O580" i="4"/>
  <c r="L580" i="4"/>
  <c r="I580" i="4"/>
  <c r="F580" i="4"/>
  <c r="O579" i="4"/>
  <c r="L579" i="4"/>
  <c r="I579" i="4"/>
  <c r="F579" i="4"/>
  <c r="O578" i="4"/>
  <c r="L578" i="4"/>
  <c r="I578" i="4"/>
  <c r="F578" i="4"/>
  <c r="O577" i="4"/>
  <c r="L577" i="4"/>
  <c r="I577" i="4"/>
  <c r="F577" i="4"/>
  <c r="O576" i="4"/>
  <c r="L576" i="4"/>
  <c r="I576" i="4"/>
  <c r="F576" i="4"/>
  <c r="O575" i="4"/>
  <c r="L575" i="4"/>
  <c r="I575" i="4"/>
  <c r="F575" i="4"/>
  <c r="O574" i="4"/>
  <c r="L574" i="4"/>
  <c r="I574" i="4"/>
  <c r="F574" i="4"/>
  <c r="O573" i="4"/>
  <c r="L573" i="4"/>
  <c r="I573" i="4"/>
  <c r="F573" i="4"/>
  <c r="L572" i="4"/>
  <c r="F572" i="4"/>
  <c r="O571" i="4"/>
  <c r="L571" i="4"/>
  <c r="I571" i="4"/>
  <c r="F571" i="4"/>
  <c r="O570" i="4"/>
  <c r="L570" i="4"/>
  <c r="I570" i="4"/>
  <c r="F570" i="4"/>
  <c r="O569" i="4"/>
  <c r="O568" i="4"/>
  <c r="L568" i="4"/>
  <c r="I568" i="4"/>
  <c r="F568" i="4"/>
  <c r="O567" i="4"/>
  <c r="L567" i="4"/>
  <c r="I567" i="4"/>
  <c r="F567" i="4"/>
  <c r="C544" i="4"/>
  <c r="B368" i="6"/>
  <c r="E368" i="6" s="1"/>
  <c r="B362" i="6"/>
  <c r="E362" i="6" s="1"/>
  <c r="E1426" i="6"/>
  <c r="E1425" i="6"/>
  <c r="E1414" i="6"/>
  <c r="E1413" i="6"/>
  <c r="E1412" i="6"/>
  <c r="E1406" i="6"/>
  <c r="E1405" i="6"/>
  <c r="E1401" i="6"/>
  <c r="E1396" i="6"/>
  <c r="E1395" i="6"/>
  <c r="E1394" i="6"/>
  <c r="E1393" i="6"/>
  <c r="E1392" i="6"/>
  <c r="E1391" i="6"/>
  <c r="E1390" i="6"/>
  <c r="E1389" i="6"/>
  <c r="E1388" i="6"/>
  <c r="E1387" i="6"/>
  <c r="E1385" i="6"/>
  <c r="E1384" i="6"/>
  <c r="E1383" i="6"/>
  <c r="E1382" i="6"/>
  <c r="E1381" i="6"/>
  <c r="E1380" i="6"/>
  <c r="E1379" i="6"/>
  <c r="D1371" i="6"/>
  <c r="E1371" i="6" s="1"/>
  <c r="E1370" i="6"/>
  <c r="E1357" i="6"/>
  <c r="E1356" i="6"/>
  <c r="E1355" i="6"/>
  <c r="E1348" i="6"/>
  <c r="E1347" i="6"/>
  <c r="E1343" i="6"/>
  <c r="E1342" i="6"/>
  <c r="E1341" i="6"/>
  <c r="E1340" i="6"/>
  <c r="E1339" i="6"/>
  <c r="E1323" i="6"/>
  <c r="E1321" i="6"/>
  <c r="D1322" i="6" s="1"/>
  <c r="E1322" i="6" s="1"/>
  <c r="E1320" i="6"/>
  <c r="E1310" i="6"/>
  <c r="E1303" i="6"/>
  <c r="E1302" i="6"/>
  <c r="E1301" i="6"/>
  <c r="E1300" i="6"/>
  <c r="E1299" i="6"/>
  <c r="E1298" i="6"/>
  <c r="E1297" i="6"/>
  <c r="E1293" i="6"/>
  <c r="D1292" i="6"/>
  <c r="E1292" i="6" s="1"/>
  <c r="E1286" i="6"/>
  <c r="E1285" i="6"/>
  <c r="E1278" i="6"/>
  <c r="E1260" i="6"/>
  <c r="E1254" i="6"/>
  <c r="E1247" i="6"/>
  <c r="E1246" i="6"/>
  <c r="E1237" i="6"/>
  <c r="E1234" i="6"/>
  <c r="E1227" i="6"/>
  <c r="E1221" i="6"/>
  <c r="E1215" i="6"/>
  <c r="E1209" i="6"/>
  <c r="E1203" i="6"/>
  <c r="E1197" i="6"/>
  <c r="E1190" i="6"/>
  <c r="E1184" i="6"/>
  <c r="E1166" i="6"/>
  <c r="E1160" i="6"/>
  <c r="E1153" i="6"/>
  <c r="E1147" i="6"/>
  <c r="E1141" i="6"/>
  <c r="E1135" i="6"/>
  <c r="B1129" i="6"/>
  <c r="E1129" i="6" s="1"/>
  <c r="B1123" i="6"/>
  <c r="E1123" i="6" s="1"/>
  <c r="E1096" i="6"/>
  <c r="E1095" i="6"/>
  <c r="D1094" i="6"/>
  <c r="E1094" i="6" s="1"/>
  <c r="E1090" i="6"/>
  <c r="D1089" i="6"/>
  <c r="E1089" i="6" s="1"/>
  <c r="E1084" i="6"/>
  <c r="E1083" i="6"/>
  <c r="E1082" i="6"/>
  <c r="E1078" i="6"/>
  <c r="E1077" i="6"/>
  <c r="E1076" i="6"/>
  <c r="B1071" i="6"/>
  <c r="B1070" i="6"/>
  <c r="B1069" i="6"/>
  <c r="B1068" i="6"/>
  <c r="E1068" i="6" s="1"/>
  <c r="B1067" i="6"/>
  <c r="E1067" i="6" s="1"/>
  <c r="B1060" i="6"/>
  <c r="B1059" i="6"/>
  <c r="B1058" i="6"/>
  <c r="B1057" i="6"/>
  <c r="E1057" i="6" s="1"/>
  <c r="B1056" i="6"/>
  <c r="E1056" i="6" s="1"/>
  <c r="E1047" i="6"/>
  <c r="E1046" i="6"/>
  <c r="E1043" i="6"/>
  <c r="E1042" i="6"/>
  <c r="E1040" i="6"/>
  <c r="D1039" i="6"/>
  <c r="E1039" i="6" s="1"/>
  <c r="E1034" i="6"/>
  <c r="E1033" i="6"/>
  <c r="E1029" i="6"/>
  <c r="E1027" i="6"/>
  <c r="E1024" i="6"/>
  <c r="E1023" i="6"/>
  <c r="E1022" i="6"/>
  <c r="E996" i="6"/>
  <c r="E995" i="6"/>
  <c r="E994" i="6"/>
  <c r="E993" i="6"/>
  <c r="E992" i="6"/>
  <c r="E991" i="6"/>
  <c r="E990" i="6"/>
  <c r="E989" i="6"/>
  <c r="E988" i="6"/>
  <c r="E987" i="6"/>
  <c r="E986" i="6"/>
  <c r="E984" i="6"/>
  <c r="E983" i="6"/>
  <c r="E982" i="6"/>
  <c r="E981" i="6"/>
  <c r="D1457" i="6" s="1"/>
  <c r="E1457" i="6" s="1"/>
  <c r="E980" i="6"/>
  <c r="E979" i="6"/>
  <c r="E978" i="6"/>
  <c r="E977" i="6"/>
  <c r="E976" i="6"/>
  <c r="E975" i="6"/>
  <c r="D970" i="6"/>
  <c r="E970" i="6" s="1"/>
  <c r="D1238" i="6" s="1"/>
  <c r="E1238" i="6" s="1"/>
  <c r="D969" i="6"/>
  <c r="E969" i="6" s="1"/>
  <c r="D1455" i="6" s="1"/>
  <c r="E1455" i="6" s="1"/>
  <c r="E1464" i="6" s="1"/>
  <c r="D1465" i="6" s="1"/>
  <c r="E1465" i="6" s="1"/>
  <c r="B968" i="6"/>
  <c r="B967" i="6"/>
  <c r="E966" i="6"/>
  <c r="E961" i="6"/>
  <c r="E960" i="6"/>
  <c r="E957" i="6"/>
  <c r="E953" i="6"/>
  <c r="E950" i="6"/>
  <c r="B947" i="6"/>
  <c r="B941" i="6"/>
  <c r="E941" i="6" s="1"/>
  <c r="B940" i="6"/>
  <c r="E940" i="6" s="1"/>
  <c r="B939" i="6"/>
  <c r="E939" i="6" s="1"/>
  <c r="B938" i="6"/>
  <c r="E938" i="6" s="1"/>
  <c r="E937" i="6"/>
  <c r="E936" i="6"/>
  <c r="B930" i="6"/>
  <c r="E930" i="6" s="1"/>
  <c r="E918" i="6"/>
  <c r="E906" i="6"/>
  <c r="E905" i="6"/>
  <c r="E904" i="6"/>
  <c r="E901" i="6"/>
  <c r="B896" i="6"/>
  <c r="E896" i="6" s="1"/>
  <c r="E884" i="6"/>
  <c r="E882" i="6"/>
  <c r="E868" i="6"/>
  <c r="E867" i="6"/>
  <c r="E866" i="6"/>
  <c r="E863" i="6"/>
  <c r="E829" i="6"/>
  <c r="E828" i="6"/>
  <c r="E823" i="6"/>
  <c r="D824" i="6" s="1"/>
  <c r="E824" i="6" s="1"/>
  <c r="E822" i="6"/>
  <c r="E817" i="6"/>
  <c r="E816" i="6"/>
  <c r="D814" i="6"/>
  <c r="E814" i="6" s="1"/>
  <c r="D815" i="6" s="1"/>
  <c r="E815" i="6" s="1"/>
  <c r="E807" i="6"/>
  <c r="E806" i="6"/>
  <c r="E805" i="6"/>
  <c r="E803" i="6"/>
  <c r="E798" i="6"/>
  <c r="E796" i="6"/>
  <c r="D797" i="6" s="1"/>
  <c r="E797" i="6" s="1"/>
  <c r="E795" i="6"/>
  <c r="E789" i="6"/>
  <c r="E788" i="6"/>
  <c r="E781" i="6"/>
  <c r="E780" i="6"/>
  <c r="E772" i="6"/>
  <c r="E771" i="6"/>
  <c r="E770" i="6"/>
  <c r="E763" i="6"/>
  <c r="D764" i="6" s="1"/>
  <c r="E764" i="6" s="1"/>
  <c r="E762" i="6"/>
  <c r="E761" i="6"/>
  <c r="E760" i="6"/>
  <c r="E750" i="6"/>
  <c r="E749" i="6"/>
  <c r="E746" i="6"/>
  <c r="B745" i="6"/>
  <c r="E575" i="6"/>
  <c r="E569" i="6"/>
  <c r="B334" i="6"/>
  <c r="E334" i="6" s="1"/>
  <c r="B333" i="6"/>
  <c r="E333" i="6" s="1"/>
  <c r="B332" i="6"/>
  <c r="E332" i="6" s="1"/>
  <c r="B331" i="6"/>
  <c r="E331" i="6" s="1"/>
  <c r="B330" i="6"/>
  <c r="E330" i="6" s="1"/>
  <c r="B329" i="6"/>
  <c r="E329" i="6" s="1"/>
  <c r="B328" i="6"/>
  <c r="E328" i="6" s="1"/>
  <c r="E321" i="6"/>
  <c r="E320" i="6"/>
  <c r="D322" i="6" s="1"/>
  <c r="E322" i="6" s="1"/>
  <c r="E315" i="6"/>
  <c r="E314" i="6"/>
  <c r="D316" i="6" s="1"/>
  <c r="E316" i="6" s="1"/>
  <c r="B310" i="6"/>
  <c r="E308" i="6"/>
  <c r="B302" i="6"/>
  <c r="E296" i="6"/>
  <c r="E281" i="6"/>
  <c r="E280" i="6"/>
  <c r="E279" i="6"/>
  <c r="E278" i="6"/>
  <c r="E277" i="6"/>
  <c r="E275" i="6"/>
  <c r="E274" i="6"/>
  <c r="E273" i="6"/>
  <c r="E272" i="6"/>
  <c r="E271" i="6"/>
  <c r="E270" i="6"/>
  <c r="E269" i="6"/>
  <c r="E268" i="6"/>
  <c r="E258" i="6"/>
  <c r="E247" i="6"/>
  <c r="E246" i="6"/>
  <c r="E223" i="6"/>
  <c r="E221" i="6"/>
  <c r="E220" i="6"/>
  <c r="E214" i="6"/>
  <c r="E213" i="6"/>
  <c r="E212" i="6"/>
  <c r="E208" i="6"/>
  <c r="E207" i="6"/>
  <c r="E202" i="6"/>
  <c r="E197" i="6"/>
  <c r="E196" i="6"/>
  <c r="E190" i="6"/>
  <c r="E180" i="6"/>
  <c r="E179" i="6"/>
  <c r="E174" i="6"/>
  <c r="E173" i="6"/>
  <c r="E167" i="6"/>
  <c r="E159" i="6"/>
  <c r="E155" i="6"/>
  <c r="E150" i="6"/>
  <c r="E149" i="6"/>
  <c r="E144" i="6"/>
  <c r="E143" i="6"/>
  <c r="E138" i="6"/>
  <c r="E137" i="6"/>
  <c r="E136" i="6"/>
  <c r="E129" i="6"/>
  <c r="E128" i="6"/>
  <c r="E127" i="6"/>
  <c r="E126" i="6"/>
  <c r="E116" i="6"/>
  <c r="E114" i="6"/>
  <c r="E113" i="6"/>
  <c r="E106" i="6"/>
  <c r="E105" i="6"/>
  <c r="E104" i="6"/>
  <c r="E98" i="6"/>
  <c r="E90" i="6"/>
  <c r="E82" i="6"/>
  <c r="E75" i="6"/>
  <c r="E66" i="6"/>
  <c r="E56" i="6"/>
  <c r="E47" i="6"/>
  <c r="E37" i="6"/>
  <c r="E29" i="6"/>
  <c r="E27" i="6"/>
  <c r="E23" i="6"/>
  <c r="E21" i="6"/>
  <c r="B17" i="6"/>
  <c r="E17" i="6" s="1"/>
  <c r="B16" i="6"/>
  <c r="E16" i="6" s="1"/>
  <c r="B15" i="6"/>
  <c r="E15" i="6" s="1"/>
  <c r="B14" i="6"/>
  <c r="E14" i="6" s="1"/>
  <c r="E13" i="6"/>
  <c r="B22" i="6" s="1"/>
  <c r="E11" i="6"/>
  <c r="D178" i="6" s="1"/>
  <c r="E178" i="6" s="1"/>
  <c r="E10" i="6"/>
  <c r="D80" i="6" s="1"/>
  <c r="E80" i="6" s="1"/>
  <c r="E9" i="6"/>
  <c r="E8" i="6"/>
  <c r="E7" i="6"/>
  <c r="D89" i="6" s="1"/>
  <c r="E89" i="6" s="1"/>
  <c r="E6" i="6"/>
  <c r="D249" i="6" s="1"/>
  <c r="E249" i="6" s="1"/>
  <c r="E5" i="6"/>
  <c r="D188" i="6" s="1"/>
  <c r="E188" i="6" s="1"/>
  <c r="C559" i="4"/>
  <c r="F559" i="4" s="1"/>
  <c r="C558" i="4"/>
  <c r="F558" i="4" s="1"/>
  <c r="C557" i="4"/>
  <c r="F557" i="4" s="1"/>
  <c r="C556" i="4"/>
  <c r="F556" i="4" s="1"/>
  <c r="C555" i="4"/>
  <c r="F555" i="4" s="1"/>
  <c r="C554" i="4"/>
  <c r="F554" i="4" s="1"/>
  <c r="C553" i="4"/>
  <c r="F553" i="4" s="1"/>
  <c r="C552" i="4"/>
  <c r="F552" i="4" s="1"/>
  <c r="C551" i="4"/>
  <c r="F551" i="4" s="1"/>
  <c r="C550" i="4"/>
  <c r="F550" i="4" s="1"/>
  <c r="C549" i="4"/>
  <c r="F549" i="4" s="1"/>
  <c r="C548" i="4"/>
  <c r="F548" i="4" s="1"/>
  <c r="C547" i="4"/>
  <c r="F547" i="4" s="1"/>
  <c r="C546" i="4"/>
  <c r="F546" i="4" s="1"/>
  <c r="C545" i="4"/>
  <c r="F545" i="4" s="1"/>
  <c r="F544" i="4"/>
  <c r="F543" i="4"/>
  <c r="C532" i="4"/>
  <c r="O531" i="4"/>
  <c r="L531" i="4"/>
  <c r="I531" i="4"/>
  <c r="F531" i="4"/>
  <c r="O530" i="4"/>
  <c r="L530" i="4"/>
  <c r="I530" i="4"/>
  <c r="F530" i="4"/>
  <c r="O529" i="4"/>
  <c r="L529" i="4"/>
  <c r="I529" i="4"/>
  <c r="F529" i="4"/>
  <c r="O528" i="4"/>
  <c r="L528" i="4"/>
  <c r="I528" i="4"/>
  <c r="F528" i="4"/>
  <c r="O527" i="4"/>
  <c r="L527" i="4"/>
  <c r="I527" i="4"/>
  <c r="F527" i="4"/>
  <c r="O526" i="4"/>
  <c r="L526" i="4"/>
  <c r="I526" i="4"/>
  <c r="F526" i="4"/>
  <c r="O525" i="4"/>
  <c r="L525" i="4"/>
  <c r="I525" i="4"/>
  <c r="F525" i="4"/>
  <c r="O524" i="4"/>
  <c r="L524" i="4"/>
  <c r="I524" i="4"/>
  <c r="F524" i="4"/>
  <c r="O523" i="4"/>
  <c r="L523" i="4"/>
  <c r="I523" i="4"/>
  <c r="F523" i="4"/>
  <c r="O522" i="4"/>
  <c r="L522" i="4"/>
  <c r="I522" i="4"/>
  <c r="F522" i="4"/>
  <c r="O521" i="4"/>
  <c r="L521" i="4"/>
  <c r="I521" i="4"/>
  <c r="F521" i="4"/>
  <c r="O520" i="4"/>
  <c r="L520" i="4"/>
  <c r="I520" i="4"/>
  <c r="F520" i="4"/>
  <c r="O519" i="4"/>
  <c r="L519" i="4"/>
  <c r="I519" i="4"/>
  <c r="F519" i="4"/>
  <c r="L518" i="4"/>
  <c r="F518" i="4"/>
  <c r="O517" i="4"/>
  <c r="L517" i="4"/>
  <c r="I517" i="4"/>
  <c r="F517" i="4"/>
  <c r="O516" i="4"/>
  <c r="L516" i="4"/>
  <c r="I516" i="4"/>
  <c r="F516" i="4"/>
  <c r="O515" i="4"/>
  <c r="L515" i="4"/>
  <c r="F515" i="4"/>
  <c r="O514" i="4"/>
  <c r="L514" i="4"/>
  <c r="I514" i="4"/>
  <c r="F514" i="4"/>
  <c r="O513" i="4"/>
  <c r="L513" i="4"/>
  <c r="I513" i="4"/>
  <c r="F513" i="4"/>
  <c r="O588" i="4" l="1"/>
  <c r="L569" i="4"/>
  <c r="L588" i="4" s="1"/>
  <c r="C586" i="4"/>
  <c r="L642" i="4"/>
  <c r="I569" i="4"/>
  <c r="O642" i="4"/>
  <c r="F642" i="4"/>
  <c r="I652" i="4" s="1"/>
  <c r="I642" i="4"/>
  <c r="I588" i="4"/>
  <c r="F588" i="4"/>
  <c r="K598" i="4" s="1"/>
  <c r="L598" i="4" s="1"/>
  <c r="K652" i="4"/>
  <c r="L652" i="4" s="1"/>
  <c r="O534" i="4"/>
  <c r="L534" i="4"/>
  <c r="F534" i="4"/>
  <c r="I534" i="4"/>
  <c r="D830" i="6"/>
  <c r="E830" i="6" s="1"/>
  <c r="E831" i="6" s="1"/>
  <c r="E832" i="6" s="1"/>
  <c r="E1097" i="6"/>
  <c r="E818" i="6"/>
  <c r="E819" i="6" s="1"/>
  <c r="E1035" i="6"/>
  <c r="E1427" i="6"/>
  <c r="E1428" i="6" s="1"/>
  <c r="E1429" i="6" s="1"/>
  <c r="D790" i="6"/>
  <c r="E790" i="6" s="1"/>
  <c r="E791" i="6" s="1"/>
  <c r="E792" i="6" s="1"/>
  <c r="E1091" i="6"/>
  <c r="E1415" i="6"/>
  <c r="D1402" i="6" s="1"/>
  <c r="E1402" i="6" s="1"/>
  <c r="E1085" i="6"/>
  <c r="E1304" i="6"/>
  <c r="E1307" i="6" s="1"/>
  <c r="E1313" i="6" s="1"/>
  <c r="D335" i="6"/>
  <c r="E335" i="6" s="1"/>
  <c r="E336" i="6" s="1"/>
  <c r="E18" i="6"/>
  <c r="D18" i="6" s="1"/>
  <c r="D12" i="6" s="1"/>
  <c r="E12" i="6" s="1"/>
  <c r="D81" i="6" s="1"/>
  <c r="D46" i="6"/>
  <c r="D36" i="6" s="1"/>
  <c r="E36" i="6" s="1"/>
  <c r="D96" i="6"/>
  <c r="E96" i="6" s="1"/>
  <c r="E1344" i="6"/>
  <c r="B28" i="6"/>
  <c r="B81" i="6"/>
  <c r="E799" i="6"/>
  <c r="E800" i="6" s="1"/>
  <c r="E1294" i="6"/>
  <c r="E1295" i="6" s="1"/>
  <c r="D162" i="6"/>
  <c r="E162" i="6" s="1"/>
  <c r="E163" i="6" s="1"/>
  <c r="D765" i="6"/>
  <c r="E765" i="6" s="1"/>
  <c r="E766" i="6" s="1"/>
  <c r="D959" i="6" s="1"/>
  <c r="E773" i="6"/>
  <c r="E747" i="6" s="1"/>
  <c r="D782" i="6"/>
  <c r="E782" i="6" s="1"/>
  <c r="E783" i="6" s="1"/>
  <c r="E784" i="6" s="1"/>
  <c r="D942" i="6"/>
  <c r="E942" i="6" s="1"/>
  <c r="E943" i="6" s="1"/>
  <c r="E1025" i="6"/>
  <c r="E1079" i="6"/>
  <c r="E1358" i="6"/>
  <c r="E1361" i="6" s="1"/>
  <c r="D115" i="6"/>
  <c r="E115" i="6" s="1"/>
  <c r="E317" i="6"/>
  <c r="D73" i="6"/>
  <c r="E73" i="6" s="1"/>
  <c r="D87" i="6"/>
  <c r="E87" i="6" s="1"/>
  <c r="D172" i="6"/>
  <c r="E172" i="6" s="1"/>
  <c r="E175" i="6" s="1"/>
  <c r="D1439" i="6" s="1"/>
  <c r="E1349" i="6"/>
  <c r="D97" i="6"/>
  <c r="E97" i="6" s="1"/>
  <c r="D189" i="6"/>
  <c r="E189" i="6" s="1"/>
  <c r="E181" i="6"/>
  <c r="D568" i="6" s="1"/>
  <c r="D45" i="6"/>
  <c r="D54" i="6"/>
  <c r="E54" i="6" s="1"/>
  <c r="D64" i="6"/>
  <c r="E64" i="6" s="1"/>
  <c r="E323" i="6"/>
  <c r="D301" i="6" s="1"/>
  <c r="E301" i="6" s="1"/>
  <c r="D804" i="6"/>
  <c r="E804" i="6" s="1"/>
  <c r="E808" i="6" s="1"/>
  <c r="D55" i="6"/>
  <c r="E55" i="6" s="1"/>
  <c r="D65" i="6"/>
  <c r="E65" i="6" s="1"/>
  <c r="D74" i="6"/>
  <c r="E74" i="6" s="1"/>
  <c r="D88" i="6"/>
  <c r="E88" i="6" s="1"/>
  <c r="E1324" i="6"/>
  <c r="E1328" i="6" s="1"/>
  <c r="E1397" i="6"/>
  <c r="E825" i="6"/>
  <c r="E997" i="6"/>
  <c r="I651" i="4" l="1"/>
  <c r="I644" i="4"/>
  <c r="I646" i="4" s="1"/>
  <c r="I599" i="4"/>
  <c r="D582" i="6"/>
  <c r="D642" i="6"/>
  <c r="D388" i="6"/>
  <c r="E388" i="6" s="1"/>
  <c r="I590" i="4"/>
  <c r="I653" i="4"/>
  <c r="I592" i="4"/>
  <c r="K592" i="4" s="1"/>
  <c r="I597" i="4"/>
  <c r="I545" i="4"/>
  <c r="D1444" i="6"/>
  <c r="E1439" i="6"/>
  <c r="I598" i="4"/>
  <c r="L654" i="4"/>
  <c r="K646" i="4"/>
  <c r="I543" i="4"/>
  <c r="K544" i="4"/>
  <c r="L544" i="4" s="1"/>
  <c r="I544" i="4"/>
  <c r="I536" i="4"/>
  <c r="D1404" i="6"/>
  <c r="E1404" i="6" s="1"/>
  <c r="E1408" i="6" s="1"/>
  <c r="D958" i="6"/>
  <c r="D967" i="6" s="1"/>
  <c r="E967" i="6" s="1"/>
  <c r="E833" i="6"/>
  <c r="D748" i="6"/>
  <c r="E748" i="6" s="1"/>
  <c r="E753" i="6" s="1"/>
  <c r="E1351" i="6"/>
  <c r="D1367" i="6" s="1"/>
  <c r="E1367" i="6" s="1"/>
  <c r="D1372" i="6" s="1"/>
  <c r="E1372" i="6" s="1"/>
  <c r="E1373" i="6" s="1"/>
  <c r="E1375" i="6" s="1"/>
  <c r="E337" i="6"/>
  <c r="E338" i="6"/>
  <c r="E81" i="6"/>
  <c r="E83" i="6" s="1"/>
  <c r="D86" i="6" s="1"/>
  <c r="E86" i="6" s="1"/>
  <c r="E91" i="6" s="1"/>
  <c r="D22" i="6"/>
  <c r="E22" i="6" s="1"/>
  <c r="E24" i="6" s="1"/>
  <c r="D186" i="6" s="1"/>
  <c r="E186" i="6" s="1"/>
  <c r="D28" i="6"/>
  <c r="E28" i="6" s="1"/>
  <c r="E30" i="6" s="1"/>
  <c r="D1058" i="6" s="1"/>
  <c r="E1058" i="6" s="1"/>
  <c r="E774" i="6"/>
  <c r="E46" i="6"/>
  <c r="E767" i="6"/>
  <c r="E810" i="6"/>
  <c r="E809" i="6"/>
  <c r="E811" i="6"/>
  <c r="E45" i="6"/>
  <c r="D35" i="6"/>
  <c r="E35" i="6" s="1"/>
  <c r="D968" i="6"/>
  <c r="E968" i="6" s="1"/>
  <c r="D1484" i="6" s="1"/>
  <c r="E959" i="6"/>
  <c r="D1284" i="6"/>
  <c r="E1284" i="6" s="1"/>
  <c r="D1202" i="6"/>
  <c r="E1202" i="6" s="1"/>
  <c r="E568" i="6"/>
  <c r="D949" i="6"/>
  <c r="E949" i="6" s="1"/>
  <c r="D257" i="6"/>
  <c r="E257" i="6" s="1"/>
  <c r="D574" i="6"/>
  <c r="E574" i="6" s="1"/>
  <c r="E945" i="6"/>
  <c r="E944" i="6"/>
  <c r="D1259" i="6"/>
  <c r="E1259" i="6" s="1"/>
  <c r="D1267" i="6"/>
  <c r="D1253" i="6"/>
  <c r="E1253" i="6" s="1"/>
  <c r="D1117" i="6"/>
  <c r="D929" i="6"/>
  <c r="E929" i="6" s="1"/>
  <c r="D1122" i="6"/>
  <c r="D1233" i="6"/>
  <c r="E1233" i="6" s="1"/>
  <c r="D1112" i="6"/>
  <c r="E1112" i="6" s="1"/>
  <c r="D307" i="6"/>
  <c r="E307" i="6" s="1"/>
  <c r="D1102" i="6"/>
  <c r="D211" i="6"/>
  <c r="E211" i="6" s="1"/>
  <c r="D1245" i="6"/>
  <c r="E1245" i="6" s="1"/>
  <c r="D924" i="6"/>
  <c r="D295" i="6"/>
  <c r="E295" i="6" s="1"/>
  <c r="D290" i="6"/>
  <c r="E290" i="6" s="1"/>
  <c r="D895" i="6"/>
  <c r="E895" i="6" s="1"/>
  <c r="D342" i="6"/>
  <c r="D346" i="6" s="1"/>
  <c r="E346" i="6" s="1"/>
  <c r="D890" i="6"/>
  <c r="E890" i="6" s="1"/>
  <c r="E755" i="6" l="1"/>
  <c r="D588" i="6"/>
  <c r="E582" i="6"/>
  <c r="D395" i="6"/>
  <c r="D400" i="6" s="1"/>
  <c r="D405" i="6" s="1"/>
  <c r="L600" i="4"/>
  <c r="D1489" i="6"/>
  <c r="E1484" i="6"/>
  <c r="E924" i="6"/>
  <c r="D1471" i="6"/>
  <c r="E1471" i="6" s="1"/>
  <c r="I538" i="4"/>
  <c r="L546" i="4" s="1"/>
  <c r="E400" i="6"/>
  <c r="D1450" i="6"/>
  <c r="E1450" i="6" s="1"/>
  <c r="E1444" i="6"/>
  <c r="D1069" i="6"/>
  <c r="E1069" i="6" s="1"/>
  <c r="D72" i="6"/>
  <c r="E72" i="6" s="1"/>
  <c r="E958" i="6"/>
  <c r="E962" i="6" s="1"/>
  <c r="E963" i="6" s="1"/>
  <c r="E754" i="6"/>
  <c r="D34" i="6"/>
  <c r="E34" i="6" s="1"/>
  <c r="D44" i="6"/>
  <c r="E44" i="6" s="1"/>
  <c r="D63" i="6"/>
  <c r="E63" i="6" s="1"/>
  <c r="E342" i="6"/>
  <c r="D351" i="6"/>
  <c r="D356" i="6" s="1"/>
  <c r="D187" i="6"/>
  <c r="E187" i="6" s="1"/>
  <c r="D201" i="6"/>
  <c r="E201" i="6" s="1"/>
  <c r="D203" i="6" s="1"/>
  <c r="E203" i="6" s="1"/>
  <c r="E204" i="6" s="1"/>
  <c r="D1041" i="6"/>
  <c r="E1041" i="6" s="1"/>
  <c r="E1048" i="6" s="1"/>
  <c r="D1050" i="6" s="1"/>
  <c r="E1050" i="6" s="1"/>
  <c r="D43" i="6"/>
  <c r="E43" i="6" s="1"/>
  <c r="D71" i="6"/>
  <c r="E71" i="6" s="1"/>
  <c r="D52" i="6"/>
  <c r="E52" i="6" s="1"/>
  <c r="D33" i="6"/>
  <c r="E33" i="6" s="1"/>
  <c r="D95" i="6"/>
  <c r="E95" i="6" s="1"/>
  <c r="D62" i="6"/>
  <c r="E62" i="6" s="1"/>
  <c r="E971" i="6"/>
  <c r="E972" i="6" s="1"/>
  <c r="D53" i="6"/>
  <c r="E53" i="6" s="1"/>
  <c r="D1107" i="6"/>
  <c r="E1107" i="6" s="1"/>
  <c r="E1102" i="6"/>
  <c r="D1152" i="6"/>
  <c r="D1189" i="6"/>
  <c r="E1189" i="6" s="1"/>
  <c r="D1146" i="6"/>
  <c r="E1146" i="6" s="1"/>
  <c r="E1122" i="6"/>
  <c r="D1128" i="6"/>
  <c r="E1128" i="6" s="1"/>
  <c r="D1134" i="6"/>
  <c r="D1277" i="6"/>
  <c r="E1277" i="6" s="1"/>
  <c r="D1272" i="6"/>
  <c r="E1272" i="6" s="1"/>
  <c r="E1267" i="6"/>
  <c r="E191" i="6"/>
  <c r="E92" i="6"/>
  <c r="D1196" i="6"/>
  <c r="E1117" i="6"/>
  <c r="D594" i="6" l="1"/>
  <c r="E588" i="6"/>
  <c r="E395" i="6"/>
  <c r="K538" i="4"/>
  <c r="E76" i="6"/>
  <c r="E77" i="6" s="1"/>
  <c r="D195" i="6" s="1"/>
  <c r="E195" i="6" s="1"/>
  <c r="E198" i="6" s="1"/>
  <c r="E356" i="6"/>
  <c r="D361" i="6"/>
  <c r="D367" i="6" s="1"/>
  <c r="D374" i="6" s="1"/>
  <c r="E374" i="6" s="1"/>
  <c r="E99" i="6"/>
  <c r="E100" i="6" s="1"/>
  <c r="D125" i="6" s="1"/>
  <c r="E125" i="6" s="1"/>
  <c r="E130" i="6" s="1"/>
  <c r="D1494" i="6"/>
  <c r="E1489" i="6"/>
  <c r="D419" i="6"/>
  <c r="E405" i="6"/>
  <c r="E351" i="6"/>
  <c r="E67" i="6"/>
  <c r="E68" i="6" s="1"/>
  <c r="D468" i="6" s="1"/>
  <c r="E48" i="6"/>
  <c r="E49" i="6" s="1"/>
  <c r="D1219" i="6" s="1"/>
  <c r="E1219" i="6" s="1"/>
  <c r="E38" i="6"/>
  <c r="E39" i="6" s="1"/>
  <c r="D341" i="6" s="1"/>
  <c r="D1051" i="6"/>
  <c r="E1051" i="6" s="1"/>
  <c r="E192" i="6"/>
  <c r="D244" i="6" s="1"/>
  <c r="E244" i="6" s="1"/>
  <c r="E57" i="6"/>
  <c r="E58" i="6" s="1"/>
  <c r="D256" i="6" s="1"/>
  <c r="D289" i="6" s="1"/>
  <c r="D581" i="6" s="1"/>
  <c r="D1071" i="6"/>
  <c r="E1071" i="6" s="1"/>
  <c r="D1060" i="6"/>
  <c r="E1060" i="6" s="1"/>
  <c r="D154" i="6"/>
  <c r="E154" i="6" s="1"/>
  <c r="E156" i="6" s="1"/>
  <c r="D148" i="6"/>
  <c r="E148" i="6" s="1"/>
  <c r="E151" i="6" s="1"/>
  <c r="D103" i="6"/>
  <c r="E103" i="6" s="1"/>
  <c r="E107" i="6" s="1"/>
  <c r="E109" i="6" s="1"/>
  <c r="D222" i="6"/>
  <c r="E222" i="6" s="1"/>
  <c r="E224" i="6" s="1"/>
  <c r="D142" i="6"/>
  <c r="E142" i="6" s="1"/>
  <c r="E145" i="6" s="1"/>
  <c r="D166" i="6"/>
  <c r="E166" i="6" s="1"/>
  <c r="E168" i="6" s="1"/>
  <c r="E169" i="6" s="1"/>
  <c r="D267" i="6"/>
  <c r="E267" i="6" s="1"/>
  <c r="D245" i="6"/>
  <c r="E245" i="6" s="1"/>
  <c r="D112" i="6"/>
  <c r="E112" i="6" s="1"/>
  <c r="E117" i="6" s="1"/>
  <c r="D553" i="6" s="1"/>
  <c r="E1134" i="6"/>
  <c r="D1140" i="6"/>
  <c r="E1140" i="6" s="1"/>
  <c r="E1196" i="6"/>
  <c r="D1208" i="6"/>
  <c r="E1152" i="6"/>
  <c r="D1159" i="6"/>
  <c r="E468" i="6" l="1"/>
  <c r="D473" i="6"/>
  <c r="D480" i="6" s="1"/>
  <c r="E480" i="6" s="1"/>
  <c r="E581" i="6"/>
  <c r="E584" i="6" s="1"/>
  <c r="D587" i="6"/>
  <c r="E594" i="6"/>
  <c r="D602" i="6"/>
  <c r="D608" i="6" s="1"/>
  <c r="D613" i="6" s="1"/>
  <c r="D619" i="6" s="1"/>
  <c r="D625" i="6" s="1"/>
  <c r="D387" i="6"/>
  <c r="E387" i="6" s="1"/>
  <c r="E390" i="6" s="1"/>
  <c r="D1177" i="6"/>
  <c r="E1177" i="6" s="1"/>
  <c r="D660" i="6"/>
  <c r="E660" i="6" s="1"/>
  <c r="E367" i="6"/>
  <c r="D350" i="6"/>
  <c r="D355" i="6" s="1"/>
  <c r="D360" i="6" s="1"/>
  <c r="D366" i="6" s="1"/>
  <c r="D345" i="6"/>
  <c r="E345" i="6" s="1"/>
  <c r="E347" i="6" s="1"/>
  <c r="D209" i="6"/>
  <c r="E209" i="6" s="1"/>
  <c r="D135" i="6"/>
  <c r="E135" i="6" s="1"/>
  <c r="E139" i="6" s="1"/>
  <c r="D513" i="6"/>
  <c r="D554" i="6" s="1"/>
  <c r="E554" i="6" s="1"/>
  <c r="D512" i="6"/>
  <c r="E512" i="6" s="1"/>
  <c r="D552" i="6"/>
  <c r="E552" i="6" s="1"/>
  <c r="E1494" i="6"/>
  <c r="D1508" i="6"/>
  <c r="D514" i="6"/>
  <c r="D394" i="6"/>
  <c r="D399" i="6" s="1"/>
  <c r="D234" i="6"/>
  <c r="E234" i="6" s="1"/>
  <c r="D488" i="6"/>
  <c r="D425" i="6"/>
  <c r="D489" i="6" s="1"/>
  <c r="E419" i="6"/>
  <c r="D1418" i="6"/>
  <c r="E1418" i="6" s="1"/>
  <c r="D1438" i="6"/>
  <c r="D889" i="6"/>
  <c r="E889" i="6" s="1"/>
  <c r="E891" i="6" s="1"/>
  <c r="D871" i="6" s="1"/>
  <c r="E871" i="6" s="1"/>
  <c r="D1070" i="6"/>
  <c r="E1070" i="6" s="1"/>
  <c r="E1072" i="6" s="1"/>
  <c r="E1073" i="6" s="1"/>
  <c r="E341" i="6"/>
  <c r="E343" i="6" s="1"/>
  <c r="D1101" i="6"/>
  <c r="D1106" i="6" s="1"/>
  <c r="E1106" i="6" s="1"/>
  <c r="E1108" i="6" s="1"/>
  <c r="D1121" i="6"/>
  <c r="D1127" i="6" s="1"/>
  <c r="D928" i="6"/>
  <c r="E928" i="6" s="1"/>
  <c r="E931" i="6" s="1"/>
  <c r="D910" i="6" s="1"/>
  <c r="E910" i="6" s="1"/>
  <c r="D948" i="6"/>
  <c r="E948" i="6" s="1"/>
  <c r="E951" i="6" s="1"/>
  <c r="D952" i="6" s="1"/>
  <c r="E952" i="6" s="1"/>
  <c r="E954" i="6" s="1"/>
  <c r="E256" i="6"/>
  <c r="E259" i="6" s="1"/>
  <c r="D265" i="6" s="1"/>
  <c r="E265" i="6" s="1"/>
  <c r="D894" i="6"/>
  <c r="E894" i="6" s="1"/>
  <c r="E897" i="6" s="1"/>
  <c r="D872" i="6" s="1"/>
  <c r="E872" i="6" s="1"/>
  <c r="D1213" i="6"/>
  <c r="E1213" i="6" s="1"/>
  <c r="D923" i="6"/>
  <c r="E923" i="6" s="1"/>
  <c r="E925" i="6" s="1"/>
  <c r="D909" i="6" s="1"/>
  <c r="E909" i="6" s="1"/>
  <c r="E69" i="6"/>
  <c r="D1059" i="6"/>
  <c r="E1059" i="6" s="1"/>
  <c r="E1061" i="6" s="1"/>
  <c r="E1062" i="6" s="1"/>
  <c r="D1225" i="6"/>
  <c r="E1225" i="6" s="1"/>
  <c r="E289" i="6"/>
  <c r="E291" i="6" s="1"/>
  <c r="D302" i="6" s="1"/>
  <c r="E302" i="6" s="1"/>
  <c r="D573" i="6"/>
  <c r="E573" i="6" s="1"/>
  <c r="E576" i="6" s="1"/>
  <c r="D210" i="6"/>
  <c r="E210" i="6" s="1"/>
  <c r="D294" i="6"/>
  <c r="D1266" i="6"/>
  <c r="D1271" i="6" s="1"/>
  <c r="E1271" i="6" s="1"/>
  <c r="E1273" i="6" s="1"/>
  <c r="E361" i="6"/>
  <c r="D1232" i="6"/>
  <c r="E1232" i="6" s="1"/>
  <c r="E1235" i="6" s="1"/>
  <c r="D1236" i="6" s="1"/>
  <c r="E1236" i="6" s="1"/>
  <c r="E1239" i="6" s="1"/>
  <c r="D1244" i="6"/>
  <c r="E1244" i="6" s="1"/>
  <c r="E1248" i="6" s="1"/>
  <c r="D567" i="6"/>
  <c r="E567" i="6" s="1"/>
  <c r="E570" i="6" s="1"/>
  <c r="D1252" i="6"/>
  <c r="D1258" i="6" s="1"/>
  <c r="E1258" i="6" s="1"/>
  <c r="E1261" i="6" s="1"/>
  <c r="D1182" i="6"/>
  <c r="E1182" i="6" s="1"/>
  <c r="D1158" i="6"/>
  <c r="E1158" i="6" s="1"/>
  <c r="D1283" i="6"/>
  <c r="E1283" i="6" s="1"/>
  <c r="E1287" i="6" s="1"/>
  <c r="E59" i="6"/>
  <c r="D1172" i="6"/>
  <c r="E1172" i="6" s="1"/>
  <c r="E1208" i="6"/>
  <c r="D1214" i="6"/>
  <c r="E118" i="6"/>
  <c r="E120" i="6"/>
  <c r="E122" i="6"/>
  <c r="D1420" i="6"/>
  <c r="E1420" i="6" s="1"/>
  <c r="D880" i="6"/>
  <c r="E880" i="6" s="1"/>
  <c r="D248" i="6"/>
  <c r="D229" i="6"/>
  <c r="E229" i="6" s="1"/>
  <c r="D300" i="6"/>
  <c r="E300" i="6" s="1"/>
  <c r="D916" i="6"/>
  <c r="E916" i="6" s="1"/>
  <c r="D881" i="6"/>
  <c r="E881" i="6" s="1"/>
  <c r="E131" i="6"/>
  <c r="E1159" i="6"/>
  <c r="D1165" i="6"/>
  <c r="D1419" i="6"/>
  <c r="E1419" i="6" s="1"/>
  <c r="D299" i="6"/>
  <c r="E299" i="6" s="1"/>
  <c r="D228" i="6"/>
  <c r="E228" i="6" s="1"/>
  <c r="D276" i="6"/>
  <c r="E276" i="6" s="1"/>
  <c r="E108" i="6"/>
  <c r="D878" i="6"/>
  <c r="E878" i="6" s="1"/>
  <c r="C505" i="4"/>
  <c r="F505" i="4" s="1"/>
  <c r="C504" i="4"/>
  <c r="F504" i="4" s="1"/>
  <c r="C503" i="4"/>
  <c r="F503" i="4" s="1"/>
  <c r="C502" i="4"/>
  <c r="F502" i="4" s="1"/>
  <c r="C501" i="4"/>
  <c r="F501" i="4" s="1"/>
  <c r="C500" i="4"/>
  <c r="F500" i="4" s="1"/>
  <c r="C499" i="4"/>
  <c r="F499" i="4" s="1"/>
  <c r="C498" i="4"/>
  <c r="F498" i="4" s="1"/>
  <c r="C497" i="4"/>
  <c r="F497" i="4" s="1"/>
  <c r="C496" i="4"/>
  <c r="F496" i="4" s="1"/>
  <c r="C495" i="4"/>
  <c r="F495" i="4" s="1"/>
  <c r="C494" i="4"/>
  <c r="F494" i="4" s="1"/>
  <c r="C493" i="4"/>
  <c r="F493" i="4" s="1"/>
  <c r="C492" i="4"/>
  <c r="F492" i="4" s="1"/>
  <c r="C491" i="4"/>
  <c r="F491" i="4" s="1"/>
  <c r="F490" i="4"/>
  <c r="F489" i="4"/>
  <c r="C478" i="4"/>
  <c r="O477" i="4"/>
  <c r="L477" i="4"/>
  <c r="I477" i="4"/>
  <c r="F477" i="4"/>
  <c r="O476" i="4"/>
  <c r="L476" i="4"/>
  <c r="I476" i="4"/>
  <c r="F476" i="4"/>
  <c r="O475" i="4"/>
  <c r="L475" i="4"/>
  <c r="I475" i="4"/>
  <c r="F475" i="4"/>
  <c r="O474" i="4"/>
  <c r="L474" i="4"/>
  <c r="I474" i="4"/>
  <c r="F474" i="4"/>
  <c r="O473" i="4"/>
  <c r="L473" i="4"/>
  <c r="I473" i="4"/>
  <c r="F473" i="4"/>
  <c r="O472" i="4"/>
  <c r="L472" i="4"/>
  <c r="I472" i="4"/>
  <c r="F472" i="4"/>
  <c r="O471" i="4"/>
  <c r="L471" i="4"/>
  <c r="I471" i="4"/>
  <c r="F471" i="4"/>
  <c r="O470" i="4"/>
  <c r="L470" i="4"/>
  <c r="I470" i="4"/>
  <c r="F470" i="4"/>
  <c r="O469" i="4"/>
  <c r="L469" i="4"/>
  <c r="I469" i="4"/>
  <c r="F469" i="4"/>
  <c r="O468" i="4"/>
  <c r="L468" i="4"/>
  <c r="I468" i="4"/>
  <c r="F468" i="4"/>
  <c r="O467" i="4"/>
  <c r="L467" i="4"/>
  <c r="I467" i="4"/>
  <c r="F467" i="4"/>
  <c r="O466" i="4"/>
  <c r="L466" i="4"/>
  <c r="I466" i="4"/>
  <c r="F466" i="4"/>
  <c r="O465" i="4"/>
  <c r="L465" i="4"/>
  <c r="I465" i="4"/>
  <c r="F465" i="4"/>
  <c r="L463" i="4"/>
  <c r="F463" i="4"/>
  <c r="O462" i="4"/>
  <c r="L462" i="4"/>
  <c r="I462" i="4"/>
  <c r="F462" i="4"/>
  <c r="O461" i="4"/>
  <c r="L461" i="4"/>
  <c r="I461" i="4"/>
  <c r="F461" i="4"/>
  <c r="O460" i="4"/>
  <c r="L460" i="4"/>
  <c r="I460" i="4"/>
  <c r="F460" i="4"/>
  <c r="O459" i="4"/>
  <c r="L459" i="4"/>
  <c r="I459" i="4"/>
  <c r="F459" i="4"/>
  <c r="O458" i="4"/>
  <c r="L458" i="4"/>
  <c r="I458" i="4"/>
  <c r="F458" i="4"/>
  <c r="E409" i="4"/>
  <c r="F409" i="4" s="1"/>
  <c r="C450" i="4"/>
  <c r="F450" i="4" s="1"/>
  <c r="C449" i="4"/>
  <c r="F449" i="4" s="1"/>
  <c r="C448" i="4"/>
  <c r="F448" i="4" s="1"/>
  <c r="C447" i="4"/>
  <c r="F447" i="4" s="1"/>
  <c r="C446" i="4"/>
  <c r="F446" i="4" s="1"/>
  <c r="C445" i="4"/>
  <c r="F445" i="4" s="1"/>
  <c r="C444" i="4"/>
  <c r="F444" i="4" s="1"/>
  <c r="C443" i="4"/>
  <c r="F443" i="4" s="1"/>
  <c r="C442" i="4"/>
  <c r="F442" i="4" s="1"/>
  <c r="C441" i="4"/>
  <c r="F441" i="4" s="1"/>
  <c r="C440" i="4"/>
  <c r="F440" i="4" s="1"/>
  <c r="C439" i="4"/>
  <c r="F439" i="4" s="1"/>
  <c r="C438" i="4"/>
  <c r="F438" i="4" s="1"/>
  <c r="C437" i="4"/>
  <c r="F437" i="4" s="1"/>
  <c r="C436" i="4"/>
  <c r="F436" i="4" s="1"/>
  <c r="F435" i="4"/>
  <c r="F434" i="4"/>
  <c r="C423" i="4"/>
  <c r="O422" i="4"/>
  <c r="L422" i="4"/>
  <c r="I422" i="4"/>
  <c r="F422" i="4"/>
  <c r="O421" i="4"/>
  <c r="L421" i="4"/>
  <c r="I421" i="4"/>
  <c r="F421" i="4"/>
  <c r="O420" i="4"/>
  <c r="L420" i="4"/>
  <c r="I420" i="4"/>
  <c r="F420" i="4"/>
  <c r="O419" i="4"/>
  <c r="L419" i="4"/>
  <c r="I419" i="4"/>
  <c r="F419" i="4"/>
  <c r="O418" i="4"/>
  <c r="L418" i="4"/>
  <c r="I418" i="4"/>
  <c r="F418" i="4"/>
  <c r="O417" i="4"/>
  <c r="L417" i="4"/>
  <c r="I417" i="4"/>
  <c r="F417" i="4"/>
  <c r="O416" i="4"/>
  <c r="L416" i="4"/>
  <c r="I416" i="4"/>
  <c r="F416" i="4"/>
  <c r="Q415" i="4"/>
  <c r="O415" i="4"/>
  <c r="L415" i="4"/>
  <c r="I415" i="4"/>
  <c r="F415" i="4"/>
  <c r="O414" i="4"/>
  <c r="L414" i="4"/>
  <c r="I414" i="4"/>
  <c r="F414" i="4"/>
  <c r="O413" i="4"/>
  <c r="L413" i="4"/>
  <c r="I413" i="4"/>
  <c r="F413" i="4"/>
  <c r="O412" i="4"/>
  <c r="L412" i="4"/>
  <c r="I412" i="4"/>
  <c r="F412" i="4"/>
  <c r="O411" i="4"/>
  <c r="L411" i="4"/>
  <c r="I411" i="4"/>
  <c r="F411" i="4"/>
  <c r="O410" i="4"/>
  <c r="L410" i="4"/>
  <c r="I410" i="4"/>
  <c r="F410" i="4"/>
  <c r="L409" i="4"/>
  <c r="I409" i="4"/>
  <c r="L408" i="4"/>
  <c r="I408" i="4"/>
  <c r="F408" i="4"/>
  <c r="O407" i="4"/>
  <c r="L407" i="4"/>
  <c r="I407" i="4"/>
  <c r="F407" i="4"/>
  <c r="O406" i="4"/>
  <c r="L406" i="4"/>
  <c r="I406" i="4"/>
  <c r="F406" i="4"/>
  <c r="O405" i="4"/>
  <c r="L405" i="4"/>
  <c r="I405" i="4"/>
  <c r="F405" i="4"/>
  <c r="O404" i="4"/>
  <c r="L404" i="4"/>
  <c r="I404" i="4"/>
  <c r="F404" i="4"/>
  <c r="O403" i="4"/>
  <c r="L403" i="4"/>
  <c r="I403" i="4"/>
  <c r="F403" i="4"/>
  <c r="E587" i="6" l="1"/>
  <c r="E590" i="6" s="1"/>
  <c r="D593" i="6"/>
  <c r="E642" i="6"/>
  <c r="D647" i="6"/>
  <c r="E635" i="6"/>
  <c r="E294" i="6"/>
  <c r="E297" i="6" s="1"/>
  <c r="D306" i="6"/>
  <c r="E306" i="6" s="1"/>
  <c r="E309" i="6" s="1"/>
  <c r="D310" i="6" s="1"/>
  <c r="E310" i="6" s="1"/>
  <c r="E248" i="6"/>
  <c r="E250" i="6" s="1"/>
  <c r="D237" i="6"/>
  <c r="E237" i="6" s="1"/>
  <c r="E238" i="6" s="1"/>
  <c r="E355" i="6"/>
  <c r="E357" i="6" s="1"/>
  <c r="E350" i="6"/>
  <c r="E352" i="6" s="1"/>
  <c r="E215" i="6"/>
  <c r="D875" i="6" s="1"/>
  <c r="E875" i="6" s="1"/>
  <c r="E886" i="6" s="1"/>
  <c r="E514" i="6"/>
  <c r="D555" i="6"/>
  <c r="E555" i="6" s="1"/>
  <c r="E394" i="6"/>
  <c r="E396" i="6" s="1"/>
  <c r="D1514" i="6"/>
  <c r="E1508" i="6"/>
  <c r="D495" i="6"/>
  <c r="E489" i="6"/>
  <c r="D494" i="6"/>
  <c r="D641" i="6" s="1"/>
  <c r="E488" i="6"/>
  <c r="E513" i="6"/>
  <c r="D404" i="6"/>
  <c r="E399" i="6"/>
  <c r="E401" i="6" s="1"/>
  <c r="E425" i="6"/>
  <c r="D411" i="6"/>
  <c r="E1438" i="6"/>
  <c r="E1440" i="6" s="1"/>
  <c r="D1443" i="6"/>
  <c r="E1121" i="6"/>
  <c r="E1124" i="6" s="1"/>
  <c r="E1101" i="6"/>
  <c r="E1103" i="6" s="1"/>
  <c r="E132" i="6"/>
  <c r="D1145" i="6"/>
  <c r="E1145" i="6" s="1"/>
  <c r="E1148" i="6" s="1"/>
  <c r="L425" i="4"/>
  <c r="D1276" i="6"/>
  <c r="E1276" i="6" s="1"/>
  <c r="E1279" i="6" s="1"/>
  <c r="D1164" i="6"/>
  <c r="E1164" i="6" s="1"/>
  <c r="E1266" i="6"/>
  <c r="E1268" i="6" s="1"/>
  <c r="E1252" i="6"/>
  <c r="E1255" i="6" s="1"/>
  <c r="E1421" i="6"/>
  <c r="E1422" i="6" s="1"/>
  <c r="E1161" i="6"/>
  <c r="E121" i="6"/>
  <c r="E119" i="6"/>
  <c r="D1133" i="6"/>
  <c r="E1127" i="6"/>
  <c r="E1130" i="6" s="1"/>
  <c r="E1165" i="6"/>
  <c r="D1173" i="6"/>
  <c r="E1214" i="6"/>
  <c r="E1216" i="6" s="1"/>
  <c r="D1220" i="6"/>
  <c r="O480" i="4"/>
  <c r="O425" i="4"/>
  <c r="I480" i="4"/>
  <c r="L480" i="4"/>
  <c r="F480" i="4"/>
  <c r="I425" i="4"/>
  <c r="F425" i="4"/>
  <c r="E252" i="6" l="1"/>
  <c r="E411" i="6"/>
  <c r="D469" i="6"/>
  <c r="D474" i="6" s="1"/>
  <c r="D601" i="6"/>
  <c r="E593" i="6"/>
  <c r="E596" i="6" s="1"/>
  <c r="D607" i="6"/>
  <c r="D612" i="6" s="1"/>
  <c r="D618" i="6" s="1"/>
  <c r="D624" i="6" s="1"/>
  <c r="D653" i="6"/>
  <c r="E653" i="6" s="1"/>
  <c r="E647" i="6"/>
  <c r="E251" i="6"/>
  <c r="D284" i="6"/>
  <c r="E284" i="6" s="1"/>
  <c r="E240" i="6"/>
  <c r="E239" i="6"/>
  <c r="D298" i="6"/>
  <c r="E298" i="6" s="1"/>
  <c r="E303" i="6" s="1"/>
  <c r="D510" i="6"/>
  <c r="E510" i="6" s="1"/>
  <c r="E216" i="6"/>
  <c r="D266" i="6"/>
  <c r="E266" i="6" s="1"/>
  <c r="E282" i="6" s="1"/>
  <c r="E283" i="6" s="1"/>
  <c r="D227" i="6"/>
  <c r="E227" i="6" s="1"/>
  <c r="E230" i="6" s="1"/>
  <c r="E217" i="6"/>
  <c r="D913" i="6"/>
  <c r="E913" i="6" s="1"/>
  <c r="E920" i="6" s="1"/>
  <c r="E494" i="6"/>
  <c r="D527" i="6"/>
  <c r="D547" i="6"/>
  <c r="E547" i="6" s="1"/>
  <c r="E495" i="6"/>
  <c r="D548" i="6"/>
  <c r="D528" i="6"/>
  <c r="D661" i="6"/>
  <c r="E661" i="6" s="1"/>
  <c r="E662" i="6" s="1"/>
  <c r="E663" i="6" s="1"/>
  <c r="E670" i="6" s="1"/>
  <c r="E1514" i="6"/>
  <c r="D1500" i="6"/>
  <c r="E1500" i="6" s="1"/>
  <c r="E491" i="6"/>
  <c r="D507" i="6" s="1"/>
  <c r="E507" i="6" s="1"/>
  <c r="D418" i="6"/>
  <c r="E404" i="6"/>
  <c r="E407" i="6" s="1"/>
  <c r="D1449" i="6"/>
  <c r="E1449" i="6" s="1"/>
  <c r="E1452" i="6" s="1"/>
  <c r="E1443" i="6"/>
  <c r="E1446" i="6" s="1"/>
  <c r="D1151" i="6"/>
  <c r="E1151" i="6" s="1"/>
  <c r="E1154" i="6" s="1"/>
  <c r="I489" i="4"/>
  <c r="E360" i="6"/>
  <c r="E363" i="6" s="1"/>
  <c r="E1167" i="6"/>
  <c r="D1178" i="6"/>
  <c r="E1173" i="6"/>
  <c r="E1174" i="6" s="1"/>
  <c r="E1220" i="6"/>
  <c r="E1222" i="6" s="1"/>
  <c r="D1226" i="6"/>
  <c r="E1226" i="6" s="1"/>
  <c r="E1228" i="6" s="1"/>
  <c r="E1133" i="6"/>
  <c r="E1136" i="6" s="1"/>
  <c r="D1139" i="6"/>
  <c r="E1139" i="6" s="1"/>
  <c r="E1142" i="6" s="1"/>
  <c r="K490" i="4"/>
  <c r="L490" i="4" s="1"/>
  <c r="I491" i="4"/>
  <c r="I482" i="4"/>
  <c r="I490" i="4"/>
  <c r="K435" i="4"/>
  <c r="L435" i="4" s="1"/>
  <c r="I427" i="4"/>
  <c r="I435" i="4"/>
  <c r="I436" i="4"/>
  <c r="I434" i="4"/>
  <c r="Q20" i="4"/>
  <c r="C55" i="4"/>
  <c r="F55" i="4" s="1"/>
  <c r="C54" i="4"/>
  <c r="F54" i="4" s="1"/>
  <c r="C53" i="4"/>
  <c r="F53" i="4" s="1"/>
  <c r="C52" i="4"/>
  <c r="F52" i="4" s="1"/>
  <c r="C51" i="4"/>
  <c r="F51" i="4" s="1"/>
  <c r="C50" i="4"/>
  <c r="F50" i="4" s="1"/>
  <c r="C49" i="4"/>
  <c r="F49" i="4" s="1"/>
  <c r="C48" i="4"/>
  <c r="F48" i="4" s="1"/>
  <c r="C47" i="4"/>
  <c r="F47" i="4" s="1"/>
  <c r="C46" i="4"/>
  <c r="F46" i="4" s="1"/>
  <c r="C45" i="4"/>
  <c r="F45" i="4" s="1"/>
  <c r="C44" i="4"/>
  <c r="F44" i="4" s="1"/>
  <c r="C43" i="4"/>
  <c r="F43" i="4" s="1"/>
  <c r="C42" i="4"/>
  <c r="F42" i="4" s="1"/>
  <c r="C41" i="4"/>
  <c r="F41" i="4" s="1"/>
  <c r="F40" i="4"/>
  <c r="F39" i="4"/>
  <c r="C28" i="4"/>
  <c r="O27" i="4"/>
  <c r="L27" i="4"/>
  <c r="I27" i="4"/>
  <c r="F27" i="4"/>
  <c r="O26" i="4"/>
  <c r="L26" i="4"/>
  <c r="I26" i="4"/>
  <c r="F26" i="4"/>
  <c r="O25" i="4"/>
  <c r="L25" i="4"/>
  <c r="I25" i="4"/>
  <c r="F25" i="4"/>
  <c r="O24" i="4"/>
  <c r="L24" i="4"/>
  <c r="I24" i="4"/>
  <c r="F24" i="4"/>
  <c r="O23" i="4"/>
  <c r="L23" i="4"/>
  <c r="I23" i="4"/>
  <c r="F23" i="4"/>
  <c r="O22" i="4"/>
  <c r="L22" i="4"/>
  <c r="I22" i="4"/>
  <c r="F22" i="4"/>
  <c r="O21" i="4"/>
  <c r="L21" i="4"/>
  <c r="I21" i="4"/>
  <c r="F21" i="4"/>
  <c r="O20" i="4"/>
  <c r="L20" i="4"/>
  <c r="I20" i="4"/>
  <c r="F20" i="4"/>
  <c r="O19" i="4"/>
  <c r="L19" i="4"/>
  <c r="I19" i="4"/>
  <c r="F19" i="4"/>
  <c r="O18" i="4"/>
  <c r="L18" i="4"/>
  <c r="I18" i="4"/>
  <c r="F18" i="4"/>
  <c r="O17" i="4"/>
  <c r="L17" i="4"/>
  <c r="I17" i="4"/>
  <c r="F17" i="4"/>
  <c r="O16" i="4"/>
  <c r="L16" i="4"/>
  <c r="I16" i="4"/>
  <c r="F16" i="4"/>
  <c r="O15" i="4"/>
  <c r="L15" i="4"/>
  <c r="I15" i="4"/>
  <c r="F15" i="4"/>
  <c r="L14" i="4"/>
  <c r="I14" i="4"/>
  <c r="F14" i="4"/>
  <c r="O13" i="4"/>
  <c r="L13" i="4"/>
  <c r="I13" i="4"/>
  <c r="F13" i="4"/>
  <c r="O12" i="4"/>
  <c r="L12" i="4"/>
  <c r="I12" i="4"/>
  <c r="F12" i="4"/>
  <c r="O11" i="4"/>
  <c r="L11" i="4"/>
  <c r="I11" i="4"/>
  <c r="F11" i="4"/>
  <c r="O10" i="4"/>
  <c r="L10" i="4"/>
  <c r="I10" i="4"/>
  <c r="F10" i="4"/>
  <c r="D550" i="6" l="1"/>
  <c r="E550" i="6" s="1"/>
  <c r="E474" i="6"/>
  <c r="D481" i="6"/>
  <c r="E481" i="6" s="1"/>
  <c r="E483" i="6" s="1"/>
  <c r="E473" i="6"/>
  <c r="E469" i="6"/>
  <c r="E470" i="6" s="1"/>
  <c r="E285" i="6"/>
  <c r="E286" i="6" s="1"/>
  <c r="E497" i="6"/>
  <c r="D508" i="6" s="1"/>
  <c r="E508" i="6" s="1"/>
  <c r="E520" i="6" s="1"/>
  <c r="E548" i="6" s="1"/>
  <c r="E674" i="6"/>
  <c r="E677" i="6"/>
  <c r="E673" i="6"/>
  <c r="E676" i="6"/>
  <c r="E672" i="6"/>
  <c r="E675" i="6"/>
  <c r="D534" i="6"/>
  <c r="E534" i="6" s="1"/>
  <c r="E528" i="6"/>
  <c r="D533" i="6"/>
  <c r="E533" i="6" s="1"/>
  <c r="E527" i="6"/>
  <c r="D424" i="6"/>
  <c r="E418" i="6"/>
  <c r="E421" i="6" s="1"/>
  <c r="D1188" i="6"/>
  <c r="E1188" i="6" s="1"/>
  <c r="E1191" i="6" s="1"/>
  <c r="I484" i="4"/>
  <c r="L492" i="4" s="1"/>
  <c r="D373" i="6"/>
  <c r="D1183" i="6"/>
  <c r="E1183" i="6" s="1"/>
  <c r="E1185" i="6" s="1"/>
  <c r="E1178" i="6"/>
  <c r="E1179" i="6" s="1"/>
  <c r="D1470" i="6" s="1"/>
  <c r="E1470" i="6" s="1"/>
  <c r="E1472" i="6" s="1"/>
  <c r="E1480" i="6" s="1"/>
  <c r="I429" i="4"/>
  <c r="F30" i="4"/>
  <c r="I30" i="4"/>
  <c r="L30" i="4"/>
  <c r="O30" i="4"/>
  <c r="I32" i="4" l="1"/>
  <c r="E561" i="6"/>
  <c r="E476" i="6"/>
  <c r="D646" i="6"/>
  <c r="E646" i="6" s="1"/>
  <c r="E649" i="6" s="1"/>
  <c r="D652" i="6"/>
  <c r="E652" i="6" s="1"/>
  <c r="E655" i="6" s="1"/>
  <c r="E641" i="6"/>
  <c r="E643" i="6" s="1"/>
  <c r="E530" i="6"/>
  <c r="E536" i="6"/>
  <c r="D410" i="6"/>
  <c r="E410" i="6" s="1"/>
  <c r="E413" i="6" s="1"/>
  <c r="E424" i="6"/>
  <c r="E427" i="6" s="1"/>
  <c r="D1111" i="6"/>
  <c r="E1111" i="6" s="1"/>
  <c r="E1113" i="6" s="1"/>
  <c r="D1195" i="6"/>
  <c r="D1201" i="6" s="1"/>
  <c r="D1116" i="6"/>
  <c r="E1116" i="6" s="1"/>
  <c r="K484" i="4"/>
  <c r="E366" i="6"/>
  <c r="E369" i="6" s="1"/>
  <c r="L437" i="4"/>
  <c r="K429" i="4"/>
  <c r="E1195" i="6" l="1"/>
  <c r="E1198" i="6" s="1"/>
  <c r="E1118" i="6"/>
  <c r="D1485" i="6"/>
  <c r="D379" i="6"/>
  <c r="E379" i="6" s="1"/>
  <c r="E382" i="6" s="1"/>
  <c r="E373" i="6"/>
  <c r="E376" i="6" s="1"/>
  <c r="E1201" i="6"/>
  <c r="E1204" i="6" s="1"/>
  <c r="D1207" i="6"/>
  <c r="E1207" i="6" s="1"/>
  <c r="E1210" i="6" s="1"/>
  <c r="I34" i="4"/>
  <c r="I35" i="4" l="1"/>
  <c r="I36" i="4" s="1"/>
  <c r="D1490" i="6"/>
  <c r="E1485" i="6"/>
  <c r="E1486" i="6" s="1"/>
  <c r="E1490" i="6" l="1"/>
  <c r="E1491" i="6" s="1"/>
  <c r="D1495" i="6"/>
  <c r="E1495" i="6" l="1"/>
  <c r="E1497" i="6" s="1"/>
  <c r="D1509" i="6"/>
  <c r="D1515" i="6" l="1"/>
  <c r="E1509" i="6"/>
  <c r="E1511" i="6" s="1"/>
  <c r="E1515" i="6" l="1"/>
  <c r="E1517" i="6" s="1"/>
  <c r="D1501" i="6"/>
  <c r="E1501" i="6" s="1"/>
  <c r="E1503" i="6" s="1"/>
</calcChain>
</file>

<file path=xl/comments1.xml><?xml version="1.0" encoding="utf-8"?>
<comments xmlns="http://schemas.openxmlformats.org/spreadsheetml/2006/main">
  <authors>
    <author>UES-INAPA</author>
  </authors>
  <commentList>
    <comment ref="I34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87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40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96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47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3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4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<sst xmlns="http://schemas.openxmlformats.org/spreadsheetml/2006/main" count="3360" uniqueCount="955">
  <si>
    <t>PART.</t>
  </si>
  <si>
    <t>D E S C R I P C I O N</t>
  </si>
  <si>
    <t>CANT.</t>
  </si>
  <si>
    <t>UD</t>
  </si>
  <si>
    <t>P.U. (RD$)</t>
  </si>
  <si>
    <t>Valor (RD$)</t>
  </si>
  <si>
    <t>A</t>
  </si>
  <si>
    <t>REPLANTEO</t>
  </si>
  <si>
    <t>M</t>
  </si>
  <si>
    <t>MOVIMIENTO DE TIERRA</t>
  </si>
  <si>
    <t>M3</t>
  </si>
  <si>
    <t>SUMINISTRO DE TUBERIA</t>
  </si>
  <si>
    <t>COLOCACION DE TUBERIA</t>
  </si>
  <si>
    <t>%</t>
  </si>
  <si>
    <t>PA</t>
  </si>
  <si>
    <t>ML</t>
  </si>
  <si>
    <t>M2</t>
  </si>
  <si>
    <t>SUB TOTAL A</t>
  </si>
  <si>
    <t>PRELIMINARES</t>
  </si>
  <si>
    <t xml:space="preserve">REPLANTEO </t>
  </si>
  <si>
    <t>PAÑETE INTERIOR PULIDO</t>
  </si>
  <si>
    <t>PAÑETE EXTERIOR</t>
  </si>
  <si>
    <t>ACERA PERIMETRAL 0.80</t>
  </si>
  <si>
    <t>GL</t>
  </si>
  <si>
    <t>U</t>
  </si>
  <si>
    <t>P.A.</t>
  </si>
  <si>
    <t xml:space="preserve">PAÑETE </t>
  </si>
  <si>
    <t>CANTOS</t>
  </si>
  <si>
    <t>HORMIGON ARMADO EN:</t>
  </si>
  <si>
    <t>FINO LOSA DE FONDO</t>
  </si>
  <si>
    <t>PINTURA</t>
  </si>
  <si>
    <t>FINO LOSA DE TECHO</t>
  </si>
  <si>
    <t>ANTEPECHO</t>
  </si>
  <si>
    <t>GLS</t>
  </si>
  <si>
    <t>P</t>
  </si>
  <si>
    <t>DEPOSITO REGULADOR H.A. CAP. 150 M3.</t>
  </si>
  <si>
    <t>LOSA DE FONDO 0.15-1.01 QQM3</t>
  </si>
  <si>
    <t>FINO DE FONDO</t>
  </si>
  <si>
    <t xml:space="preserve">MANO DE OBRA </t>
  </si>
  <si>
    <t>MALLA CICLONICA</t>
  </si>
  <si>
    <t>H</t>
  </si>
  <si>
    <t>DE Ø4" PVC (SDR-26) C/J.G.+ 2% POR PERDIDA DE CAMPANA</t>
  </si>
  <si>
    <t>CEMENTO SOLVENTE Y TEFLON</t>
  </si>
  <si>
    <t>P.A</t>
  </si>
  <si>
    <t>MANO DE OBRA PLOMERO</t>
  </si>
  <si>
    <t>PEDESTAL H.S (0.80 X 0.15)</t>
  </si>
  <si>
    <t>Z</t>
  </si>
  <si>
    <t>VARIOS</t>
  </si>
  <si>
    <t>SUB-TOTAL GENERAL</t>
  </si>
  <si>
    <t>GASTOS INDIRECTOS</t>
  </si>
  <si>
    <t>HONORARIOS PROFESIONALES</t>
  </si>
  <si>
    <t>TRANSPORTE</t>
  </si>
  <si>
    <t>SEGUROS,POLIZA Y FINANZA</t>
  </si>
  <si>
    <t>GASTOS  ADMINISTRATIVOS</t>
  </si>
  <si>
    <t>LEY 3-86</t>
  </si>
  <si>
    <t>ITBIS 07-2007</t>
  </si>
  <si>
    <t>INTERCONEXION CON EDENORTE (CUB. CON FACTURA)</t>
  </si>
  <si>
    <t>TOTAL GASTOS INDIRECTOS</t>
  </si>
  <si>
    <t>TOTAL EJECUTAR EN RD$</t>
  </si>
  <si>
    <t>IMPREVISTOS</t>
  </si>
  <si>
    <t xml:space="preserve">TOTAL A CONTRATAR EN RD$ </t>
  </si>
  <si>
    <t>CODIA</t>
  </si>
  <si>
    <t>MANTENIMIENTO Y OPERACIÓN SISTEMAS INAPA</t>
  </si>
  <si>
    <t>EXCACION.</t>
  </si>
  <si>
    <t>ASIENTO ARENA</t>
  </si>
  <si>
    <t>VOL TUBO</t>
  </si>
  <si>
    <t>CEMENTO S</t>
  </si>
  <si>
    <t>LONG. MTL</t>
  </si>
  <si>
    <t>FC.</t>
  </si>
  <si>
    <t>VOL. M3</t>
  </si>
  <si>
    <t>VOL. KG</t>
  </si>
  <si>
    <t>2"</t>
  </si>
  <si>
    <t>3"</t>
  </si>
  <si>
    <t>4"</t>
  </si>
  <si>
    <t>6"</t>
  </si>
  <si>
    <t>8"</t>
  </si>
  <si>
    <t>10"</t>
  </si>
  <si>
    <t>12"</t>
  </si>
  <si>
    <t>14"</t>
  </si>
  <si>
    <t>16"</t>
  </si>
  <si>
    <t>18"</t>
  </si>
  <si>
    <t>20"</t>
  </si>
  <si>
    <t>24"</t>
  </si>
  <si>
    <t>30"</t>
  </si>
  <si>
    <t>36"</t>
  </si>
  <si>
    <t>38"</t>
  </si>
  <si>
    <t>40"</t>
  </si>
  <si>
    <t>42"</t>
  </si>
  <si>
    <t>TOTALES</t>
  </si>
  <si>
    <t>EXC.</t>
  </si>
  <si>
    <t>AA</t>
  </si>
  <si>
    <t>VOL T</t>
  </si>
  <si>
    <t>CS</t>
  </si>
  <si>
    <t>RELLENO</t>
  </si>
  <si>
    <t>BOTE + ESPONJAMIENTO</t>
  </si>
  <si>
    <t xml:space="preserve">LONGITUD TUBERIA </t>
  </si>
  <si>
    <t>LONG. M</t>
  </si>
  <si>
    <t>% PERD</t>
  </si>
  <si>
    <t>LONG TOTAL</t>
  </si>
  <si>
    <t>L/CONDUCCION GENERAL</t>
  </si>
  <si>
    <t>MATERIAL DE MINA</t>
  </si>
  <si>
    <t>BOTE</t>
  </si>
  <si>
    <t>MUROS</t>
  </si>
  <si>
    <t>PINTURA ACRILICA</t>
  </si>
  <si>
    <t>P2</t>
  </si>
  <si>
    <t>RELLENO COMPACTADO</t>
  </si>
  <si>
    <t>BOTE DE MATERIAL</t>
  </si>
  <si>
    <t>LINEA DE IMPULSION</t>
  </si>
  <si>
    <t>Contratista:</t>
  </si>
  <si>
    <t>Contrato:</t>
  </si>
  <si>
    <t>DESCRIPCION</t>
  </si>
  <si>
    <t>CANTIDAD</t>
  </si>
  <si>
    <t>PRECIO UNIT.</t>
  </si>
  <si>
    <t>VALOR</t>
  </si>
  <si>
    <t>AGUA</t>
  </si>
  <si>
    <t>CEMENTO GRIS PUESTO EN OBRA</t>
  </si>
  <si>
    <t>FDA</t>
  </si>
  <si>
    <t>CAL</t>
  </si>
  <si>
    <t>ARENA</t>
  </si>
  <si>
    <t>GRAVA</t>
  </si>
  <si>
    <t>ARENA PARA PAÑETE</t>
  </si>
  <si>
    <t>ACERO PUESTO EN OBRA</t>
  </si>
  <si>
    <t>QQ</t>
  </si>
  <si>
    <t xml:space="preserve">TRANSPORTE </t>
  </si>
  <si>
    <t>KM</t>
  </si>
  <si>
    <t>DE 0 A 5 KM</t>
  </si>
  <si>
    <t>DE 5.1 A 10 KM</t>
  </si>
  <si>
    <t>DE 10  A 20 KM</t>
  </si>
  <si>
    <t>MAYOR A 20 KM</t>
  </si>
  <si>
    <t>km/prom</t>
  </si>
  <si>
    <t xml:space="preserve">AGREGADO ( ARENA ) </t>
  </si>
  <si>
    <t>MATERIALES</t>
  </si>
  <si>
    <t>MANEJO EN OBRA</t>
  </si>
  <si>
    <t>COSTO/M3 DE AGREGADO   R.D$</t>
  </si>
  <si>
    <t xml:space="preserve">AGREGADO ( GRAVA ) </t>
  </si>
  <si>
    <t>H.S. PARA F'C= 280 KGS/CM2</t>
  </si>
  <si>
    <t>CEMENTO</t>
  </si>
  <si>
    <t>FDAS</t>
  </si>
  <si>
    <t>LIGADO Y VACIADO</t>
  </si>
  <si>
    <t>DESPERDICIO 2%</t>
  </si>
  <si>
    <t>R.D.$</t>
  </si>
  <si>
    <t>H.S. PARA F'C= 240 KGS/CM2</t>
  </si>
  <si>
    <t>H.S. PARA F'C= 210 KGS/CM2</t>
  </si>
  <si>
    <t>H.S. PARA F'C= 210 KGS/CM2 PARA L PQÑ</t>
  </si>
  <si>
    <t>H.S. PARA F'C= 180 KGS/CM2</t>
  </si>
  <si>
    <t>H.S./fondo</t>
  </si>
  <si>
    <t>H.S. PARA F'C=140 KGS/CM2</t>
  </si>
  <si>
    <t>ARENA  P/ PAÑETE</t>
  </si>
  <si>
    <t>COSTO EN PLANTA</t>
  </si>
  <si>
    <t>M0RTERO PARA PAÑETE 1:4</t>
  </si>
  <si>
    <t>LIGADO</t>
  </si>
  <si>
    <t>DIA</t>
  </si>
  <si>
    <t>DESPERDICIO 3%</t>
  </si>
  <si>
    <t xml:space="preserve"> </t>
  </si>
  <si>
    <t>MORTERO PARA FINO 1:3</t>
  </si>
  <si>
    <t xml:space="preserve">ARENA </t>
  </si>
  <si>
    <t>MORTERO 1:4 +30% DESP.</t>
  </si>
  <si>
    <t>REGLA</t>
  </si>
  <si>
    <t>ANDAMIOS</t>
  </si>
  <si>
    <t>MANO DE OBRA</t>
  </si>
  <si>
    <t>CON ADICTIVO</t>
  </si>
  <si>
    <t>CON IMPERMEABILIZANTE</t>
  </si>
  <si>
    <t>MORTERO 1:4+30 % DESP</t>
  </si>
  <si>
    <t>CEMENTO 2DA CAPA</t>
  </si>
  <si>
    <t>MANO DE OBRA PAÑETE Y PULIDO</t>
  </si>
  <si>
    <t>PAÑETE INTERIOR --------------------------------------</t>
  </si>
  <si>
    <t>PAÑETE INTERIOR C / ADITIVO ---------------------</t>
  </si>
  <si>
    <t>PAÑETE INTERIOR PULIDO C / ADITIVO ------</t>
  </si>
  <si>
    <t>PAÑETE INTERIOR C / IMPERM.--------------------</t>
  </si>
  <si>
    <t>PAÑETE INTERIOR PULIDO C / IMPERM------</t>
  </si>
  <si>
    <t>MORTERO 1:3+ 25%DESP.</t>
  </si>
  <si>
    <t>BAJADA MAT.</t>
  </si>
  <si>
    <t xml:space="preserve">   </t>
  </si>
  <si>
    <t>RD-$</t>
  </si>
  <si>
    <t>FINO LOSA DE FONDO PULIDO --------------------</t>
  </si>
  <si>
    <t>FINO LOSA DE FONDO PULIDO C/ADITIVO----</t>
  </si>
  <si>
    <t>MORTERO 1:3+DESP.</t>
  </si>
  <si>
    <t>SUBIDA MAT.</t>
  </si>
  <si>
    <t>MORTERO 1:4+DESP.</t>
  </si>
  <si>
    <t>RD$</t>
  </si>
  <si>
    <t>RESANE</t>
  </si>
  <si>
    <t>MORTERO 1:4  + 30% DESP.</t>
  </si>
  <si>
    <t>REGLA (1 DE 1"x 4" x 10' / 100 USOS ).</t>
  </si>
  <si>
    <t xml:space="preserve">CARETEO </t>
  </si>
  <si>
    <t>MORTEO 1:4 PARA EMPAÑETE + 30% DESP. DESP. (5MM ESPESOR)</t>
  </si>
  <si>
    <t>MANO DE OBRA.</t>
  </si>
  <si>
    <t>COSTO /M2</t>
  </si>
  <si>
    <t>IMPERMEABILIZANTE ( REND, 20 M2/GL )</t>
  </si>
  <si>
    <t>P.U GALON RD$</t>
  </si>
  <si>
    <t>IMPERMEABILIZANTE SUPRAWELD + 20%</t>
  </si>
  <si>
    <t>APLICACION  ( DOS MANOS )</t>
  </si>
  <si>
    <t>HERRAMIENTAS 3%</t>
  </si>
  <si>
    <t>COSTO / M2</t>
  </si>
  <si>
    <t>ZABALETA 0.15 x 0.15</t>
  </si>
  <si>
    <t>MORTERO 1:4 PAR PAÑETE</t>
  </si>
  <si>
    <t>M.O.</t>
  </si>
  <si>
    <t>COSTO/M3  R.D$</t>
  </si>
  <si>
    <t>COSTO/M.L  R.D$</t>
  </si>
  <si>
    <t>ACERO P/ZAPATA DE MURO, VIGAS Y COLUMNAS</t>
  </si>
  <si>
    <t xml:space="preserve">SUMINISTRO </t>
  </si>
  <si>
    <t>ACERO</t>
  </si>
  <si>
    <t>ALAMBRE NO.18.  2 LIB.XQQ</t>
  </si>
  <si>
    <t>LB</t>
  </si>
  <si>
    <t>ACERO GENERAL</t>
  </si>
  <si>
    <t>ANALISIS MUROS DE BLOQUES</t>
  </si>
  <si>
    <t>HORMIGON P/CAMARA BLOQUES 1:3:5</t>
  </si>
  <si>
    <t>CEMENTO GRIS</t>
  </si>
  <si>
    <t xml:space="preserve">MANO DE OBRA MEZCLADO </t>
  </si>
  <si>
    <t xml:space="preserve">DESPERDICIO 3%  </t>
  </si>
  <si>
    <t>HORMIGON CICLOPEO</t>
  </si>
  <si>
    <t>H.S. 140KG/CM2 + 5% DESP.</t>
  </si>
  <si>
    <t>PIEDRA CALIZA</t>
  </si>
  <si>
    <t>BASE GRAVA CANALETA</t>
  </si>
  <si>
    <t>REGADO (1 OBRERO REND DIA/15 M3)</t>
  </si>
  <si>
    <t>HERRAMIENTA</t>
  </si>
  <si>
    <t>MURO DE BLOQUES DE 6"</t>
  </si>
  <si>
    <t>SUM.DE BLOQUE 6"</t>
  </si>
  <si>
    <t>COLOCACION BLOQUES 6"</t>
  </si>
  <si>
    <t>MORTERO P/JUNTA+30%DESP.</t>
  </si>
  <si>
    <t>HORM.EN CAMARA +10%DESP.</t>
  </si>
  <si>
    <t>ACERO 3/8"+20%DESP</t>
  </si>
  <si>
    <t>ANDAMIOS P/BLOQUES</t>
  </si>
  <si>
    <t>CONFECCION ANDAMIOS</t>
  </si>
  <si>
    <t xml:space="preserve">LLENADO HUECOS </t>
  </si>
  <si>
    <r>
      <t xml:space="preserve">  </t>
    </r>
    <r>
      <rPr>
        <b/>
        <sz val="10"/>
        <color indexed="12"/>
        <rFont val="Arial"/>
        <family val="2"/>
      </rPr>
      <t>SNP</t>
    </r>
    <r>
      <rPr>
        <b/>
        <sz val="10"/>
        <rFont val="Arial"/>
        <family val="2"/>
      </rPr>
      <t xml:space="preserve"> COSTO/M2R.D.$</t>
    </r>
  </si>
  <si>
    <t xml:space="preserve">  A CAMARA LLENA COSTO / M2R.D.$</t>
  </si>
  <si>
    <r>
      <t xml:space="preserve">  </t>
    </r>
    <r>
      <rPr>
        <b/>
        <sz val="10"/>
        <color indexed="12"/>
        <rFont val="Arial"/>
        <family val="2"/>
      </rPr>
      <t>BNP</t>
    </r>
    <r>
      <rPr>
        <b/>
        <sz val="10"/>
        <rFont val="Arial"/>
        <family val="2"/>
      </rPr>
      <t xml:space="preserve"> COSTO / M2R.D.$</t>
    </r>
  </si>
  <si>
    <t>BLOQUES CALADOS</t>
  </si>
  <si>
    <t>SUMINISTRO BLOQUES</t>
  </si>
  <si>
    <t xml:space="preserve">COLOCACION BLOQUES </t>
  </si>
  <si>
    <t xml:space="preserve">MEZCLA P/PAÑETE </t>
  </si>
  <si>
    <t xml:space="preserve">DESP. BLOQUES </t>
  </si>
  <si>
    <t>MURO DE BLOCK 6"</t>
  </si>
  <si>
    <t>PAÑETE</t>
  </si>
  <si>
    <t>PREPARACION DE TERRENO</t>
  </si>
  <si>
    <t>H.S. 180KG/CM2+5% DESP.</t>
  </si>
  <si>
    <t xml:space="preserve">ELABORACION VACIADO Y FROTADO </t>
  </si>
  <si>
    <t xml:space="preserve">CANTOS LATERALES </t>
  </si>
  <si>
    <t>ACERA PERIMETRAL 0.60</t>
  </si>
  <si>
    <t>PISO HORMIGON SIMPLE PULIDO NATURAL</t>
  </si>
  <si>
    <t>HORMIGON 1:3:5</t>
  </si>
  <si>
    <t>MORTERO 1:4</t>
  </si>
  <si>
    <t xml:space="preserve">ELAB. VAC. FROT. Y VIOL. </t>
  </si>
  <si>
    <t>CEMENTO GRIS PULIDO</t>
  </si>
  <si>
    <t>PISO H.S PULIDO A COLOR</t>
  </si>
  <si>
    <t>LBS</t>
  </si>
  <si>
    <t>PISO H.S FROTADO</t>
  </si>
  <si>
    <t>VERJA DE MALLA CICLONICA, LONGITUD DE ANALISIS L=12.00</t>
  </si>
  <si>
    <t>ZAPATA DE MURO  P/VERJA-1.20 X1.20  1.13 QQ/M3</t>
  </si>
  <si>
    <t xml:space="preserve">K ACERO </t>
  </si>
  <si>
    <t>EXCAVACION A MANO</t>
  </si>
  <si>
    <t>ZAPATA DE MURO 0.60 qq/M3</t>
  </si>
  <si>
    <t>BLOCK 6" ( 3 LINEA )</t>
  </si>
  <si>
    <t>LOMO DE PERRO</t>
  </si>
  <si>
    <t>TUBO 1 1/2"X15' H.G.</t>
  </si>
  <si>
    <t>TUBO 1 1/4"X20' H.G.</t>
  </si>
  <si>
    <t>MALLA CICLONICA No.9</t>
  </si>
  <si>
    <t>COPA DE 2"</t>
  </si>
  <si>
    <t>COPA DE 1 1/2"</t>
  </si>
  <si>
    <t>PALOMETA DOBLE</t>
  </si>
  <si>
    <t>ALAMBRE DE PUAS</t>
  </si>
  <si>
    <t>ALAMBRE DULCE NO.18</t>
  </si>
  <si>
    <t xml:space="preserve">PAÑETE MURO </t>
  </si>
  <si>
    <t>PINTURA VERJA , PALOMETAS, TUBOS , ALAMBRES Y DESP. MANTENIMIENTO</t>
  </si>
  <si>
    <t xml:space="preserve">PLANCHUELAS 1 x 1/8 </t>
  </si>
  <si>
    <t>ABRAZADERAS 1 1/2 METAL</t>
  </si>
  <si>
    <t>PINTURA LOMO DE PERRO Y MURO ACRLICA</t>
  </si>
  <si>
    <t>TOTAL GENERAL ANAL.VERJA</t>
  </si>
  <si>
    <t>COSTO POR M/L</t>
  </si>
  <si>
    <t>COSTO P/M</t>
  </si>
  <si>
    <t>TOTAL GENERAL ANAL.VERJA C/ C1 INC.</t>
  </si>
  <si>
    <t>COSTO POR M/L C/ C1 INCLUIDA</t>
  </si>
  <si>
    <t>ZAPATA DE COLUMNAS - 1.14 QQ/M3</t>
  </si>
  <si>
    <t>COSTO P/M3</t>
  </si>
  <si>
    <t>COLUMNAS C2, P / LAS ESQUINAS - 3.63 QQ/M3</t>
  </si>
  <si>
    <t>H.S. 210 KG/CM2+5% DESP.</t>
  </si>
  <si>
    <t>ENC. Y DESEC.</t>
  </si>
  <si>
    <t xml:space="preserve">VOLUMEN C2 /UD = </t>
  </si>
  <si>
    <t>ZAPATA DE COLUMNA</t>
  </si>
  <si>
    <t>COLUMNA C2 (INC. ZAPATA)</t>
  </si>
  <si>
    <t>COSTO P/U</t>
  </si>
  <si>
    <t>ENC.Y DESENC.</t>
  </si>
  <si>
    <t xml:space="preserve">VOLUMEN C1 /UD = </t>
  </si>
  <si>
    <t>PINTURA BASE BLANCA  SIN ANDAMIO :</t>
  </si>
  <si>
    <t>PINTURA (cubeta de 5gls=$650)</t>
  </si>
  <si>
    <t>APLICACION (dos manos).</t>
  </si>
  <si>
    <t>DESPERDICIOS Y RETOQUES.</t>
  </si>
  <si>
    <t>COSTO P/M2 RD$</t>
  </si>
  <si>
    <t>PINTURA ACRILICA  SIN ANDAMIO :</t>
  </si>
  <si>
    <t>Pintura (cubeta de 5gls=$500)</t>
  </si>
  <si>
    <t>Aplicación (dos manos).</t>
  </si>
  <si>
    <t>Desperdicios y retoques.</t>
  </si>
  <si>
    <t>REPLANTEO PARA ( 114.49 M2 )</t>
  </si>
  <si>
    <t>MADERA</t>
  </si>
  <si>
    <t>PT</t>
  </si>
  <si>
    <t>CLAVOS (1 M= 10 CLAVOS)</t>
  </si>
  <si>
    <t>CAL (0.04 LB/M )</t>
  </si>
  <si>
    <t>NYLON ( 0.005 ROLLOS/M )</t>
  </si>
  <si>
    <t>ROLLO</t>
  </si>
  <si>
    <t>CARPITERO (OP2) (0.015 DIA/M )</t>
  </si>
  <si>
    <t>TECNICO CALIFICADO ( 0.034 DIA/M )</t>
  </si>
  <si>
    <t>BRIGADA TOPOGRAFICA( 0.015 DIA/M )</t>
  </si>
  <si>
    <t>HERRAMIETAS MENORES 3%</t>
  </si>
  <si>
    <t>COSTO TOTAL/RD$</t>
  </si>
  <si>
    <t>COSTO P/M2</t>
  </si>
  <si>
    <t>BORDILLO H.A. PARA TAPA ( 0.15 x 0.10 ) - 1.40 QQ/M3</t>
  </si>
  <si>
    <t>H.S. 180 KG/CM2+5% DESP.</t>
  </si>
  <si>
    <t>DINTEL ( 0.15 x 0.20 ) - 3.33 QQ/M3</t>
  </si>
  <si>
    <t>LOSA DE TECHO  0.10 - 1.17 QQ/M3</t>
  </si>
  <si>
    <t>SUM. DE BARRAS DE ACERO ½" x ½"</t>
  </si>
  <si>
    <t>DIAS</t>
  </si>
  <si>
    <t>SORDADURAS</t>
  </si>
  <si>
    <t>PINTURA DE OXIDO ROJO</t>
  </si>
  <si>
    <t>PINTURA DE MANTENIMIENTO</t>
  </si>
  <si>
    <t>COSTO P/ U</t>
  </si>
  <si>
    <t>COSTO P/ M2</t>
  </si>
  <si>
    <t>COSTO P/ P2</t>
  </si>
  <si>
    <t>EQUIPOS DE CORTE Y SOLDADURA</t>
  </si>
  <si>
    <t>MOTOSOLDADORA</t>
  </si>
  <si>
    <t>ALQUILER DE MAQUINA</t>
  </si>
  <si>
    <t>SOLDADOR</t>
  </si>
  <si>
    <t>AYUIDANTES ( 2 H ) @ 900.00/H/DIA</t>
  </si>
  <si>
    <t>COMBUSTIBLE (GASOLINA) ( 0.06 x.HP.x 8 )</t>
  </si>
  <si>
    <t>LUBRICANTE 20% DEL COMBUSTIBLE</t>
  </si>
  <si>
    <t>HERRAMIENTAS</t>
  </si>
  <si>
    <t>COSTO P/DIA</t>
  </si>
  <si>
    <t>COSTO P/ HR</t>
  </si>
  <si>
    <t>EQUIPO DE CORTES</t>
  </si>
  <si>
    <t>EQUIPO DE CORTE</t>
  </si>
  <si>
    <t>OXIGENO</t>
  </si>
  <si>
    <t>CIL</t>
  </si>
  <si>
    <t>GAS PROPANO DE 100 LB ( 22.5 GLS )</t>
  </si>
  <si>
    <t>MOVIMIENTOS DE TIERRA</t>
  </si>
  <si>
    <t xml:space="preserve">EXC. MATERIAL NO CLASIFICADO A MANO </t>
  </si>
  <si>
    <t xml:space="preserve"> (REND. = 36.60 M3/DIA = 4.575 M3/HR)</t>
  </si>
  <si>
    <t>MAESTRO RD$ 1,500.00/DIA</t>
  </si>
  <si>
    <t>HR</t>
  </si>
  <si>
    <t>PEON (10  @ RD$ 650 P/DIA C/U)</t>
  </si>
  <si>
    <t>HERRAMIENTAS ( 3% DE M.O.)</t>
  </si>
  <si>
    <t>REND.</t>
  </si>
  <si>
    <t>M3/HR</t>
  </si>
  <si>
    <t xml:space="preserve">EXC. MATERIAL COMPACTADO NO CLASIFICADO A MANO </t>
  </si>
  <si>
    <t>PEON (10  @ RD$650 P/DIA C/U)</t>
  </si>
  <si>
    <t>EXC. MATERIAL NO CLASIFICADO C / EQUIPO ( RETRO PALA, 416 )</t>
  </si>
  <si>
    <t>ALQUILER DE CAT 416</t>
  </si>
  <si>
    <t xml:space="preserve">COMBUSTIBLE </t>
  </si>
  <si>
    <t>GL / H</t>
  </si>
  <si>
    <t>LUBRICANTE</t>
  </si>
  <si>
    <t>OPERARIO RD% 1,300.00 / DIA</t>
  </si>
  <si>
    <t>COSTO P/HR</t>
  </si>
  <si>
    <t>RENDIMIENTO</t>
  </si>
  <si>
    <t>M3 / H</t>
  </si>
  <si>
    <t xml:space="preserve">EXC. MATERIAL NO CLASIF. C/EQUIPO ( RETRO Cat 320 ) </t>
  </si>
  <si>
    <t>GL/H</t>
  </si>
  <si>
    <t>LUBRICANTE 20%</t>
  </si>
  <si>
    <t>OPERARIO RD$ 1,300.00 /DIA</t>
  </si>
  <si>
    <t>CUÑAS Y PIEZAS</t>
  </si>
  <si>
    <t>ALQUILER DE CAT 320</t>
  </si>
  <si>
    <t>TIERRA</t>
  </si>
  <si>
    <t>CALICHE COMPACTO</t>
  </si>
  <si>
    <t xml:space="preserve">CORTE C/EQUIPO ( TRACTOR D-8-K ) </t>
  </si>
  <si>
    <t>SUM. Y COL.  DE ASIENTO DE ARENA</t>
  </si>
  <si>
    <t>REND</t>
  </si>
  <si>
    <t>M3          PEONES</t>
  </si>
  <si>
    <t>SUMINISTRO DE ARENA</t>
  </si>
  <si>
    <t>COLOCACION ( 2 PEONES ) @ 659.00</t>
  </si>
  <si>
    <t>CORTE Y DESBROSE</t>
  </si>
  <si>
    <t>MAESTRO @ 1,500.00 /DIA ( 1U )</t>
  </si>
  <si>
    <t>PEONES @ 650.00 /DIA ( 5 U )</t>
  </si>
  <si>
    <t>HERRAMIENTAS MENORES 3%</t>
  </si>
  <si>
    <t>COSTO TOTAL RD$</t>
  </si>
  <si>
    <t>COSTO / DIA RD$</t>
  </si>
  <si>
    <t>COSTO / M2 RD$</t>
  </si>
  <si>
    <t>REGISTRO PARA VALVULAS</t>
  </si>
  <si>
    <t xml:space="preserve">EXCAVACION </t>
  </si>
  <si>
    <t xml:space="preserve">BOTE DE MATERIAL  </t>
  </si>
  <si>
    <t xml:space="preserve">BLOCK 6"  </t>
  </si>
  <si>
    <t>TERMINACION</t>
  </si>
  <si>
    <t xml:space="preserve">CANTOS  </t>
  </si>
  <si>
    <t>COSTO / UD  R.D.$</t>
  </si>
  <si>
    <t>LOSA DE TECHO  0.12 - 1.41 QQ/M3</t>
  </si>
  <si>
    <t>REGISTRO DE BLOCK PARA VALVULA ROMPEDORA DE PRESION  Ø2" Y 1 1/2"( 1.50x1.50x1.42 )</t>
  </si>
  <si>
    <t>LOSA DE FONDO  0.15 - 2.19 qq/M3</t>
  </si>
  <si>
    <t>LOSA DE TECHO  0.12 - 1.37 qq/M3</t>
  </si>
  <si>
    <t>TAPA EN GRP. PESADA ( 0.80 x 0.80 )</t>
  </si>
  <si>
    <t>LOSA DE FONDO 0.15 - 2.19 QQ/M3</t>
  </si>
  <si>
    <t>LOSA DE TECHO  0.12 - 1.37 QQ/M3</t>
  </si>
  <si>
    <t>REPLANTEO PARA REGISTROS ( 3.20 M2 )</t>
  </si>
  <si>
    <t>TAPAS DE H.A. ( 0.80 x 0.80 x 0.10 )M - 1.68 qq/M3</t>
  </si>
  <si>
    <t>H.S. 180 KG/CM2</t>
  </si>
  <si>
    <t>COSTO / M3 R.D.$</t>
  </si>
  <si>
    <t>TAPAS</t>
  </si>
  <si>
    <t>PERSONAL P/INSTALACION</t>
  </si>
  <si>
    <t>COSTO / UD R.D.$</t>
  </si>
  <si>
    <t>ESCALERAS H= 1.85 Ø 3/4"</t>
  </si>
  <si>
    <t>SUMINISTRO TUBERIA 3/4" H.G.</t>
  </si>
  <si>
    <t>CORTE</t>
  </si>
  <si>
    <t>SOLDADURA</t>
  </si>
  <si>
    <t>PUNTURA DE OXIDO ROJO</t>
  </si>
  <si>
    <t>PUNTURA DE MANTENIMIETO</t>
  </si>
  <si>
    <t>COSTO /UD RD$</t>
  </si>
  <si>
    <t>COSTO /ML RD$</t>
  </si>
  <si>
    <t>ESCALERAS H= 4.00 Ø 1/2"</t>
  </si>
  <si>
    <t>SUMINISTRO TUBERIA 1/2" H.G.</t>
  </si>
  <si>
    <t>PUERTA DE MALLA CICLONICA 4 ML.</t>
  </si>
  <si>
    <t>TUB.2" x 20' H.G.</t>
  </si>
  <si>
    <t>TUB.1 1/2" x 15' H.G.</t>
  </si>
  <si>
    <t>COPA 2"</t>
  </si>
  <si>
    <t>COPA 1 1/2"</t>
  </si>
  <si>
    <t>PLANCHUELAS 1X1/8"</t>
  </si>
  <si>
    <t>ALAMBRE No.8</t>
  </si>
  <si>
    <t>LIBRA</t>
  </si>
  <si>
    <t>BARRA DE 3/8" x 10' ASEGURADORA DE PUERTA</t>
  </si>
  <si>
    <t>SOLDADORA</t>
  </si>
  <si>
    <t>PERSONAL:</t>
  </si>
  <si>
    <t>MAESTRO  SOLDADOR ( UNO )</t>
  </si>
  <si>
    <t>AYUDANTE  CALIFICADO</t>
  </si>
  <si>
    <t>PEON (UNO)</t>
  </si>
  <si>
    <t>CANDADO</t>
  </si>
  <si>
    <t>PORTA CANDADO</t>
  </si>
  <si>
    <t>BISAGRA</t>
  </si>
  <si>
    <t xml:space="preserve">ALAMBRE DE PUAS </t>
  </si>
  <si>
    <t xml:space="preserve">PINTURA </t>
  </si>
  <si>
    <t>HORMIGON SIMPLE EN TUBO ( 0.06  M3 )</t>
  </si>
  <si>
    <t>INSTALACION</t>
  </si>
  <si>
    <t>TOTAL PUERTA MALLA CICLONICA</t>
  </si>
  <si>
    <t>COSTO/UD        RD$</t>
  </si>
  <si>
    <t>PUERTA DE MALLA CICLONICA 3 ML.</t>
  </si>
  <si>
    <t>SISTEMA DE CLORACION</t>
  </si>
  <si>
    <t>CLORADOR</t>
  </si>
  <si>
    <t>BOMBA DE 3/4" H.P DE 150 PSI</t>
  </si>
  <si>
    <t>MANO OBRA INSTALACION</t>
  </si>
  <si>
    <t>CILINDRO DE CLORO GAS LENO</t>
  </si>
  <si>
    <t xml:space="preserve">PUNTO DE APLICACION </t>
  </si>
  <si>
    <t>CANALETA ENCACHADA</t>
  </si>
  <si>
    <t>PIEDRAS:</t>
  </si>
  <si>
    <t>SUMINISTRO</t>
  </si>
  <si>
    <t xml:space="preserve">COSTO /M3 RD$ </t>
  </si>
  <si>
    <t>ENCACHE</t>
  </si>
  <si>
    <t xml:space="preserve">CEMENTO GRIS </t>
  </si>
  <si>
    <t>PIEDRA</t>
  </si>
  <si>
    <t>MADERA Y CLAVOS</t>
  </si>
  <si>
    <t>COLOC. DE PIEDRA</t>
  </si>
  <si>
    <t>PREPARACION DE MORTERO</t>
  </si>
  <si>
    <t>PRECIO DE ENCACHE No 1  =</t>
  </si>
  <si>
    <t>MT</t>
  </si>
  <si>
    <t>PRECIO DE ENCACHE No 2  =</t>
  </si>
  <si>
    <t>CANALETAS ENCACHADAS</t>
  </si>
  <si>
    <t>( 0.80 x 0.40 x 0.80 )</t>
  </si>
  <si>
    <t>CANALETA ENCACHADA  0.80 ;  L=</t>
  </si>
  <si>
    <t>M ;ESP</t>
  </si>
  <si>
    <t>EXCAVACION  MAT.  NO  CLASIF. MANO</t>
  </si>
  <si>
    <t>MATERIAL GRANULAR</t>
  </si>
  <si>
    <t>TORTA DE HORMIGON  SIMPLE</t>
  </si>
  <si>
    <t>ENCACHE DE PIEDRA</t>
  </si>
  <si>
    <t xml:space="preserve">COSTO TOTAL RD$ </t>
  </si>
  <si>
    <t xml:space="preserve">COSTO /M.L. RD$ </t>
  </si>
  <si>
    <t>( 0.80 x 0.40 x 0.50 )</t>
  </si>
  <si>
    <t>NIPLE Ø 4"x 2'  ACERO PLATILLADO EN UN EXTREMO</t>
  </si>
  <si>
    <t>SUMINISTRO NIPLE DE Ø4"</t>
  </si>
  <si>
    <t>PLATILLO DE Ø4" ACERO SOLDABLE</t>
  </si>
  <si>
    <t>COLOCACION</t>
  </si>
  <si>
    <t>NIPLE Ø 3"x 2'  ACERO PLATILLADO EN UN EXTREMO</t>
  </si>
  <si>
    <t>SUMINISTRO NIPLE DE Ø3"</t>
  </si>
  <si>
    <t>PLATILLO DE Ø3" ACERO SOLDABLE</t>
  </si>
  <si>
    <t>VALVULA REGULADORA DE PRESION</t>
  </si>
  <si>
    <t>DE Ø1 1/2" H.F.</t>
  </si>
  <si>
    <t>SUMINSTRO DE VALVULA DE Ø 1 1/2"</t>
  </si>
  <si>
    <t>DE Ø 1" H.F.</t>
  </si>
  <si>
    <t>SUMINSTRO DE VALVULA DE Ø 1"</t>
  </si>
  <si>
    <t>NIPLE ROSCADO Ø1"X 2"</t>
  </si>
  <si>
    <t>CISTERNA SOTERRADA 300 M3</t>
  </si>
  <si>
    <t>ZAPATA DE MUROS 0.71 QQ/M3</t>
  </si>
  <si>
    <t>H.S. 280 KG/CM2 INDUSTRIAL</t>
  </si>
  <si>
    <t>ZAPATA DE COLUMNA  (1.50X1.50X0.40) - 0.92 QQ/M3</t>
  </si>
  <si>
    <t>COSTO/M3 RD$</t>
  </si>
  <si>
    <t>LOSA DE FONDO 0.40 -1.68 QQ/M3</t>
  </si>
  <si>
    <t xml:space="preserve">H.S. 280 KG/CM2 </t>
  </si>
  <si>
    <t>LOSA DE FONDO 0.25 -1.97 QQ/M3</t>
  </si>
  <si>
    <t>LOSA TECHO CARCAMO 0.15 -1.23 QQ/M3</t>
  </si>
  <si>
    <t>MUROS 0.30 - 2.50QQ/M3</t>
  </si>
  <si>
    <t>MUROS 0.25 - 1.72 QQ/M3</t>
  </si>
  <si>
    <t>VIGA DE ( 0.25 X 0.55) - 3.835QQ/M3</t>
  </si>
  <si>
    <t>COLUMNA C2  LATERALES ( 0.35 X 0.35) - 5 QQ/M3</t>
  </si>
  <si>
    <t>COLUMNA  C1 CENTRAL  ( 0.40 X 0.40) - 4.00 QQ/M3</t>
  </si>
  <si>
    <t>CASETA DE BOMBEO</t>
  </si>
  <si>
    <t>LOSA TECHO CARCAMO 0.12 - 0.84 QQ/M3</t>
  </si>
  <si>
    <t xml:space="preserve">H.S. 210 KG/CM2 </t>
  </si>
  <si>
    <t>DINTEL  0.15 X 0.20 -0.10QQ/M3</t>
  </si>
  <si>
    <t xml:space="preserve">H.S. 210KG/CM2 </t>
  </si>
  <si>
    <t>VERJA PERIMETRAL</t>
  </si>
  <si>
    <t>ZAPATA DE COLUMNA  (1.20X1.20X0.30) - 1.08 QQ/M3</t>
  </si>
  <si>
    <t>VIGA  ( 0.15 X 0.30) - 3.15 QQ/M3</t>
  </si>
  <si>
    <t>COLUMNA DE AMARRE ( 0.20X0.25) - 2.90QQ/M3</t>
  </si>
  <si>
    <r>
      <t>MUROS 0.30 -</t>
    </r>
    <r>
      <rPr>
        <b/>
        <sz val="10"/>
        <color indexed="10"/>
        <rFont val="Arial"/>
        <family val="2"/>
      </rPr>
      <t>2.44</t>
    </r>
    <r>
      <rPr>
        <b/>
        <sz val="10"/>
        <rFont val="Arial"/>
        <family val="2"/>
      </rPr>
      <t xml:space="preserve"> QQ/M3</t>
    </r>
  </si>
  <si>
    <t>MUROS 0.30 - 2.67QQ/M3</t>
  </si>
  <si>
    <t>MUROS 0.25 - 3.57 QQ/M3</t>
  </si>
  <si>
    <r>
      <t xml:space="preserve">VIGA DE ( 0.25 X 0.55) </t>
    </r>
    <r>
      <rPr>
        <b/>
        <sz val="10"/>
        <color indexed="10"/>
        <rFont val="Arial"/>
        <family val="2"/>
      </rPr>
      <t>- 2.65QQ</t>
    </r>
    <r>
      <rPr>
        <b/>
        <sz val="10"/>
        <rFont val="Arial"/>
        <family val="2"/>
      </rPr>
      <t>/M3</t>
    </r>
  </si>
  <si>
    <t>VIGA DE AMARRE ( 0.25 X 0.40) - 2.10QQ/M3</t>
  </si>
  <si>
    <t xml:space="preserve">H.S. 240 KG/CM2 </t>
  </si>
  <si>
    <t>VIGA  0.25 X 0.40 - 2.78QQ/M3</t>
  </si>
  <si>
    <t>RAMPA DE ACCESO A ESTACION DE BOMBEO 0.12 -1.76 QQ/M3</t>
  </si>
  <si>
    <t>ENC. Y DESC.</t>
  </si>
  <si>
    <t xml:space="preserve">RAMPA DE ACCESO A ESTACION DE BOMBEO </t>
  </si>
  <si>
    <t>FROTADO DE SUPERFICIE</t>
  </si>
  <si>
    <t>COSTO/UD RD$</t>
  </si>
  <si>
    <t>CASETA DE  BOMBEO ARRIBA DE LA CISTERNA</t>
  </si>
  <si>
    <t>VIGA DE AMARRE ( 0.20 X 0.30 ) - 2.65 QQ/M3</t>
  </si>
  <si>
    <t>H.S. 210 KG/CM2</t>
  </si>
  <si>
    <t>M.O. ACERO</t>
  </si>
  <si>
    <t>LOSA DE TECHO 0.15 - 0.84 QQ/M3</t>
  </si>
  <si>
    <t>ZAPATA DE MUROS 1.50 QQ/M3</t>
  </si>
  <si>
    <r>
      <t xml:space="preserve">ZAPATA DE COLUMNA (1.20X1.20X0.30) </t>
    </r>
    <r>
      <rPr>
        <b/>
        <sz val="10"/>
        <color indexed="10"/>
        <rFont val="Arial"/>
        <family val="2"/>
      </rPr>
      <t>1.50 QQ/M3</t>
    </r>
  </si>
  <si>
    <t>COLUMNA   (0.25X0.25) - 4.28QQ/M3</t>
  </si>
  <si>
    <t xml:space="preserve">H.S. 2.10 KG/CM2 </t>
  </si>
  <si>
    <t>VIGA  VERJA PERIMETRAL ( 0.15 X 0.30 ) - 1.56 QQ/M3</t>
  </si>
  <si>
    <t>SEÑALIZACION Y CONTROL TRANSITO</t>
  </si>
  <si>
    <t>(ANALISIS P/2129.20 ML)</t>
  </si>
  <si>
    <t xml:space="preserve">HOMBRES C/ BANDERA ROJA  2 @ 659/DIA   </t>
  </si>
  <si>
    <t>BANDEROLAS P/SEÑALES NOCTURNAS  ( 3 uds/noche )</t>
  </si>
  <si>
    <t>P/ML</t>
  </si>
  <si>
    <t>CORTE DE ASFALTO</t>
  </si>
  <si>
    <t xml:space="preserve">                                                                               </t>
  </si>
  <si>
    <t>ALQUILER MAQUINA</t>
  </si>
  <si>
    <t>DÍA</t>
  </si>
  <si>
    <t>OPERADOR</t>
  </si>
  <si>
    <t>AYUDANTE</t>
  </si>
  <si>
    <t>COMBUSTIBLE (GASOLINA) (0.06xHpx8)</t>
  </si>
  <si>
    <t xml:space="preserve">LUBRICANTE 20% DEL COMBUSTIBLE) </t>
  </si>
  <si>
    <t>AGUA PARA CORTE</t>
  </si>
  <si>
    <t>PINTA</t>
  </si>
  <si>
    <t xml:space="preserve">RENDIMIENTO </t>
  </si>
  <si>
    <t>ML/DÍA</t>
  </si>
  <si>
    <t xml:space="preserve">COSTO POR M </t>
  </si>
  <si>
    <t>DISCO DE CORTE ( RD$ 21,363 / 947 M)</t>
  </si>
  <si>
    <t>COSTO TOTAL DE CORTE POR/M</t>
  </si>
  <si>
    <t>EXTRACION DE CARPETA ASFALTICA</t>
  </si>
  <si>
    <t xml:space="preserve">EXTRACCION DE ASFALTO </t>
  </si>
  <si>
    <t>UND.</t>
  </si>
  <si>
    <t>PRECIO</t>
  </si>
  <si>
    <t>TOTAL</t>
  </si>
  <si>
    <t>ALQUILER  DE EQUIPO</t>
  </si>
  <si>
    <t xml:space="preserve">COMBUSTIBLE  (80 HP X 0.04 ) </t>
  </si>
  <si>
    <t>LUBRICANTE (20% DEL COMBUSTIBLE)</t>
  </si>
  <si>
    <t>OPERARIO RD$ (1,300 /DIA)</t>
  </si>
  <si>
    <t>COSTO TOTAL POR HORA (CH)</t>
  </si>
  <si>
    <t xml:space="preserve">RENDIMIENTO (ESPESOR DE ASFALTO 4 CM </t>
  </si>
  <si>
    <t>M2/HR</t>
  </si>
  <si>
    <t>COSTO POR M2 CH/R</t>
  </si>
  <si>
    <t>ANALISIS PARA APLICACIÓN DE ASFALTO</t>
  </si>
  <si>
    <t>RENDIMIENTO DE 1.00 M3 DE ASFALTO</t>
  </si>
  <si>
    <t>ESPESOR DEL ASFALTO EN PULGADAS = 2"</t>
  </si>
  <si>
    <t>PULG</t>
  </si>
  <si>
    <t xml:space="preserve">RENDIMIENTO = </t>
  </si>
  <si>
    <t>PERSONAL</t>
  </si>
  <si>
    <t>CAPATAZ (1)</t>
  </si>
  <si>
    <t>RASTRILLERO (1)</t>
  </si>
  <si>
    <t>CARRETILLERO (2)</t>
  </si>
  <si>
    <t xml:space="preserve">DÍA </t>
  </si>
  <si>
    <t>BARREDOR (2)</t>
  </si>
  <si>
    <t>LLENADORES DE CARRETILLAS (2)</t>
  </si>
  <si>
    <t>COSTO/ DÍA</t>
  </si>
  <si>
    <t>EQUIPOS</t>
  </si>
  <si>
    <t>RODILLO PEQUEÑO (DE MANO)</t>
  </si>
  <si>
    <t>EQUIPOS PEQUEÑOS (PALA, RASTRILLO, ...)</t>
  </si>
  <si>
    <t>SUB-TOTAL</t>
  </si>
  <si>
    <t>TOTAL MANO OBRA Y EQUIPOS</t>
  </si>
  <si>
    <t>RIEGO DE ADHERENCIA</t>
  </si>
  <si>
    <t>SUMINISTRO Y COLOCACIÓN DE RC-2</t>
  </si>
  <si>
    <t>TRANSPORTE RC-2</t>
  </si>
  <si>
    <t>CALENTAMIENTO DE RC-2</t>
  </si>
  <si>
    <t>COSTO TOTAL POR M2</t>
  </si>
  <si>
    <t>RENDIMIENTO =</t>
  </si>
  <si>
    <t>M2/GL</t>
  </si>
  <si>
    <t xml:space="preserve">PRECIO RC-2 /M2 </t>
  </si>
  <si>
    <t>COSTO/M2</t>
  </si>
  <si>
    <t>COSTO POR METRO CUBICO DE APLICACIÓN</t>
  </si>
  <si>
    <t>RENDIMIENTO PARA 2" (15.14 M3/DÍA)</t>
  </si>
  <si>
    <t>M3/DÍA</t>
  </si>
  <si>
    <t xml:space="preserve">PRECIO POR M3 DE APLICACIÓN </t>
  </si>
  <si>
    <t xml:space="preserve">PRECIO DE CARPETA ASFALTICA </t>
  </si>
  <si>
    <t>SUMINISTRO EN PLANTA (CALIENTE)</t>
  </si>
  <si>
    <t>M3/E</t>
  </si>
  <si>
    <t>TRANSPORTE( 100.00KM X RD$ 13.21 + RD$7.00) X  1.25</t>
  </si>
  <si>
    <t>M3/E/KM</t>
  </si>
  <si>
    <t>COLOCACIÓN MEZCLA</t>
  </si>
  <si>
    <t>COSTO /M3</t>
  </si>
  <si>
    <t xml:space="preserve">PRECIO ASFALTO POR M2 </t>
  </si>
  <si>
    <t>TUB.1 1/2"X10' H.G.</t>
  </si>
  <si>
    <t>MAESTRO  SOLDADOR (UNO)</t>
  </si>
  <si>
    <t>REGISTRO PARA VALVULAS DE AIRE</t>
  </si>
  <si>
    <t>TUBO DE  36" HORMIGON ARMADO (C-II)</t>
  </si>
  <si>
    <t>LOSA DE FONDO (PARA BASE) -0.15M-1.67QQ/M3</t>
  </si>
  <si>
    <t>BORDE SUPERIOR  P/COLOC.  TAPA -0.15M-1.67QQ/M3</t>
  </si>
  <si>
    <t>TAPA H.F. 0.60M</t>
  </si>
  <si>
    <t xml:space="preserve">       RD$</t>
  </si>
  <si>
    <t>LOSA DE FONDO 0.15- 1.67 QQ/M3</t>
  </si>
  <si>
    <t>ENCONFRADO Y DESCENCOFRADO</t>
  </si>
  <si>
    <t xml:space="preserve">ESCALONES DE ACCESO </t>
  </si>
  <si>
    <t xml:space="preserve">H.S. 180 KG/CM2 </t>
  </si>
  <si>
    <t>DEMOLICION CANALETA)</t>
  </si>
  <si>
    <t>MAESTRO</t>
  </si>
  <si>
    <t>PEONES (4 X RD$659/D)</t>
  </si>
  <si>
    <t>RENDIMIENTO 100 ML/DIA</t>
  </si>
  <si>
    <t>RD$/M</t>
  </si>
  <si>
    <t>H.S. 280 KG/CM2+5% DESP.</t>
  </si>
  <si>
    <t>DE Ø3" PVC (SDR-26) C/J.G.+ 2% POR PERDIDA DE CAMPANA</t>
  </si>
  <si>
    <t>RED DEDISTRIBUCION</t>
  </si>
  <si>
    <t>LINEA  MATRIZ 8"</t>
  </si>
  <si>
    <t>LINEA DE IMPULSION DERRUMBADERO</t>
  </si>
  <si>
    <t>ANCLAJES H.S.</t>
  </si>
  <si>
    <t>CRUCES</t>
  </si>
  <si>
    <t xml:space="preserve">SUMINISTRO Y COLOCACION DE PIEZAS ESPECIALES </t>
  </si>
  <si>
    <t>LOSA DE FONDO  - 1,88 QQ/M3</t>
  </si>
  <si>
    <t>CAMARA ROMPEDORA DE PRESION</t>
  </si>
  <si>
    <t>H.S. 180KG/CM2</t>
  </si>
  <si>
    <t>MURO 0.15 - 3.38 QQ/M3</t>
  </si>
  <si>
    <t>LOSA DE TECHO 0.12 - 1.27 QQ/M3</t>
  </si>
  <si>
    <t>LOSA DE FONDO 0.10 - 1.88 QQ/M3</t>
  </si>
  <si>
    <t>TUBERIA DE POLIETILENO DE ALTA DENSIDAD Ø1/2" INTERNO L=12.00M (PROMEDIO)</t>
  </si>
  <si>
    <t>ZAPATA DE MURO 0.81 QQ/M3</t>
  </si>
  <si>
    <t>VIGA DE AMARRE ( 0.15 X 0.15 )  4.57 QQ/M3</t>
  </si>
  <si>
    <t>LOSA DE TECHO 0.10 - 1.04 QQ/M3</t>
  </si>
  <si>
    <t>CASETA DE CLORO Y CLORADOR</t>
  </si>
  <si>
    <t>ZAPATA DE MUROS  0.81</t>
  </si>
  <si>
    <t>ZAPATA DE COLUMNA 1.22</t>
  </si>
  <si>
    <t>VIGA DE AMARRE (0.15 X 0.15 ) - 4.57QQ/M3</t>
  </si>
  <si>
    <t>LOSA DE TECHO 0.10 - 1.04QQ/M3</t>
  </si>
  <si>
    <t>ACERO + M.0 + ALAMBRE</t>
  </si>
  <si>
    <t>ENCOFRADO</t>
  </si>
  <si>
    <t>VIGA DINTEL  0.15 *0.10   4.76</t>
  </si>
  <si>
    <t>COLUMNA DE AMARRE 0.15 X 0.15  7.62</t>
  </si>
  <si>
    <t>ESCALEAS H= 1.00 Ø 3/4"</t>
  </si>
  <si>
    <t>Ubicación: PROV. BAHORUCO</t>
  </si>
  <si>
    <t>ZONA: VIII</t>
  </si>
  <si>
    <t>LINEA DE  IMPULSION</t>
  </si>
  <si>
    <t>SUMINISTRO MATERIAL DE MINA  30%</t>
  </si>
  <si>
    <t>LINEA  MATRIZ</t>
  </si>
  <si>
    <t xml:space="preserve">SUMINISTRO Y COLOCACION DE ASIENTO DE ARENA </t>
  </si>
  <si>
    <t>SUMINISTRO MATERIAL DE MINA PARA RELLENO  (SUJETO APROBACION DE LA SUPERVISION) D=10 KM</t>
  </si>
  <si>
    <t xml:space="preserve"> RED DE DISTRIBUCION</t>
  </si>
  <si>
    <t>RED DE DISTRIBUCION</t>
  </si>
  <si>
    <t xml:space="preserve">VALLA  ANUNCIANDO OBRA 8´X16´IMPRESION FULL COLOR CONTENIENDO LOGO DE INAPA , NOMBRE DE PROYECTO Y CONTRATISTA, ESTRUCTURA EN TUBOS GALVANIZADOS 1 1/2"X1 1/2 Y SOPORTE DE TUBO CUADRADO 4" X 4" </t>
  </si>
  <si>
    <t>SUB-TOTAL Z</t>
  </si>
  <si>
    <t>PAÑETE  INTERIOR</t>
  </si>
  <si>
    <t>TAPA POLE LIVIANA  ( 0.80 x 0.80 )</t>
  </si>
  <si>
    <t>REGISTRO DE BLOCK PARA VALVULA DE Ø6"( 1.50x1.50x1.48 )</t>
  </si>
  <si>
    <t xml:space="preserve">SUM. ARENA PUESTA EN OBRA </t>
  </si>
  <si>
    <t>PEONES</t>
  </si>
  <si>
    <t xml:space="preserve">HERRAMIENTAS MENORES </t>
  </si>
  <si>
    <t>M3/DIA</t>
  </si>
  <si>
    <t xml:space="preserve">COLOCACION </t>
  </si>
  <si>
    <t>CTO/M3 RD$</t>
  </si>
  <si>
    <t>REGISTRO</t>
  </si>
  <si>
    <t>( 1.00 X 1.00 X 1.00) M ANCHO EFECTIVO</t>
  </si>
  <si>
    <t>EXCAVACION</t>
  </si>
  <si>
    <t xml:space="preserve">BOTE DE MATERIAL </t>
  </si>
  <si>
    <t>HORMIGON ARNADO EN:</t>
  </si>
  <si>
    <t>LOSA DE FONDO 0.15 - 1.45 QQ/M3</t>
  </si>
  <si>
    <t>LOSA DE TECHO 0.12 - 1.20 QQ/M3</t>
  </si>
  <si>
    <t>TAPA METALICA DE ( 1.00 X 1.00) M</t>
  </si>
  <si>
    <t>SOPORTE MOVIL H = 0.30 M</t>
  </si>
  <si>
    <t>TUBERIA DE DRENAJE DE REGISTRO</t>
  </si>
  <si>
    <t>LOSA DE FONDO 0.15-1.45 QQ/M3</t>
  </si>
  <si>
    <t>COLUMNAS C1 (0.15x0.15) - 8.15 QQ/M3</t>
  </si>
  <si>
    <t xml:space="preserve">ANCLAJE H.A. - </t>
  </si>
  <si>
    <t>QQ/M3</t>
  </si>
  <si>
    <t xml:space="preserve">HORMIGON ARMADO </t>
  </si>
  <si>
    <t>R.D.$   /M3</t>
  </si>
  <si>
    <t>MADERA DE ENCOFRADO</t>
  </si>
  <si>
    <t>PLANCHAS DE PLYWOOD (4PLANCHAS / 4 USOS)</t>
  </si>
  <si>
    <t>CLAVOS CORRIENTES</t>
  </si>
  <si>
    <t>p.a</t>
  </si>
  <si>
    <t>R.D.$   /UNIDAD</t>
  </si>
  <si>
    <t>COSTO/M3</t>
  </si>
  <si>
    <t>CAMPAMENTO (INCLUYE ALQUILER DE CASA  O SOLAR CON CASETA DE MATERIALES CON (IU) BAÑO MOVIL)</t>
  </si>
  <si>
    <t>MES</t>
  </si>
  <si>
    <t>1.2.1</t>
  </si>
  <si>
    <t>1.2.2</t>
  </si>
  <si>
    <t>1.2.3</t>
  </si>
  <si>
    <t xml:space="preserve">CASETA  CLORO Y CLORADOR  (2.50M X 2.50M) </t>
  </si>
  <si>
    <t>( 1.90 X 1.90 X 1.40) M ANCHO EFECTIVO</t>
  </si>
  <si>
    <t>LOSA DE FONDO 0.20 - 0.79 QQ/M3</t>
  </si>
  <si>
    <t>LOSA DE TECHO 0.12 - 1.58 QQ/M3</t>
  </si>
  <si>
    <t>PAÑETE exterior</t>
  </si>
  <si>
    <t xml:space="preserve">PAÑETE  INTERIOR </t>
  </si>
  <si>
    <t xml:space="preserve">MURO DE BLOCK 6" CAMARA LLENA </t>
  </si>
  <si>
    <t>TAPA DE ALUMINIO DE ( 1.00 X 1.00) M</t>
  </si>
  <si>
    <t>REGISTRO TUBERIA  CLORO</t>
  </si>
  <si>
    <t>MURO 0.25-3.05 QQ/M3</t>
  </si>
  <si>
    <t>LOSA DE TECHO 0.15-1.23 QQ/M3</t>
  </si>
  <si>
    <t>ZAPATA DE MURO( 1.20x1.35) -1.07QQ</t>
  </si>
  <si>
    <t>.ZAPATA DE COLUMNA C1)- 1.78QQ</t>
  </si>
  <si>
    <t>ZAPATA DE COLUMNA C2 (1.40 X 1.40X0.35 ) 1.93 QQ/M3)</t>
  </si>
  <si>
    <t>COLUMNA C2 (0.35 X 0.35) 5.39 QQM3</t>
  </si>
  <si>
    <t>VIGA (0.25 X 0.50) 5.61 QQ/M3</t>
  </si>
  <si>
    <t>ANCLAJE</t>
  </si>
  <si>
    <t>6X20</t>
  </si>
  <si>
    <t>6X30</t>
  </si>
  <si>
    <t>6X45</t>
  </si>
  <si>
    <t>6X50</t>
  </si>
  <si>
    <t>6X70</t>
  </si>
  <si>
    <t>6X90</t>
  </si>
  <si>
    <t>V=</t>
  </si>
  <si>
    <t>PLANCHAS DE PLYWOOD  3/4" (12 PLANCHAS / 4 USOS)</t>
  </si>
  <si>
    <t>R.D.$   /UNIDAD (TOTAL)</t>
  </si>
  <si>
    <t xml:space="preserve">material de mina </t>
  </si>
  <si>
    <t xml:space="preserve">suministro material de mina </t>
  </si>
  <si>
    <t xml:space="preserve">arranque </t>
  </si>
  <si>
    <t xml:space="preserve"> carguio</t>
  </si>
  <si>
    <t>corte</t>
  </si>
  <si>
    <t xml:space="preserve"> distancia </t>
  </si>
  <si>
    <t>transporte interno</t>
  </si>
  <si>
    <t>km</t>
  </si>
  <si>
    <t>m3</t>
  </si>
  <si>
    <t>REPLANTEO Y CONTROL TOPOGRAFICO PARA TUBERIAS ACUEDCUTO</t>
  </si>
  <si>
    <t>Descripción</t>
  </si>
  <si>
    <t>Cantidad</t>
  </si>
  <si>
    <t>Unidad</t>
  </si>
  <si>
    <t xml:space="preserve">  SUB-TOTAL</t>
  </si>
  <si>
    <t>ALQUILER DE CAMIONETA</t>
  </si>
  <si>
    <t>MAESTRO(1 U) @,1977/DIA</t>
  </si>
  <si>
    <t>PEON (2 U) @,659 C/U /DIA</t>
  </si>
  <si>
    <t>M/DIA</t>
  </si>
  <si>
    <t>COSTO/DIA</t>
  </si>
  <si>
    <t>COSTO / M RD$</t>
  </si>
  <si>
    <t>RELLENO COMPACTADO C/COMPACTADOR MECANICO EN CAPA DE 0.30M</t>
  </si>
  <si>
    <t xml:space="preserve">ANALISIS SUMINISTRO Y COLOCACION ASIENTO DE ARENA </t>
  </si>
  <si>
    <t>UNIDAD</t>
  </si>
  <si>
    <t>P.UNIT</t>
  </si>
  <si>
    <t>VALOR TOTAL</t>
  </si>
  <si>
    <t xml:space="preserve">SUMINISTRO DE ARENA (PUESTA EN OBRA) </t>
  </si>
  <si>
    <t>COLOCACION DE ARENA</t>
  </si>
  <si>
    <t>PEON (5 HB)</t>
  </si>
  <si>
    <t>HERRAMIENTAS (3%)</t>
  </si>
  <si>
    <t>COSTO TOTAL POR DIA</t>
  </si>
  <si>
    <t xml:space="preserve">COSTO COL. P/M3 </t>
  </si>
  <si>
    <t xml:space="preserve">COSTO SUM. Y COL. P/M3 </t>
  </si>
  <si>
    <t>PRECIO TOTAL DE MATERIAL DE MINA (INCLUYE DERECHO A MINA, CORTE, CARGUÍO, ACARREO Y ARRANQUE)</t>
  </si>
  <si>
    <t>Derecho a mina</t>
  </si>
  <si>
    <t xml:space="preserve">Distancia </t>
  </si>
  <si>
    <t>Corte</t>
  </si>
  <si>
    <t>Arranque</t>
  </si>
  <si>
    <t>Carguïo</t>
  </si>
  <si>
    <t>Costo/m3</t>
  </si>
  <si>
    <t>CORTE TRACTOR D-8-K</t>
  </si>
  <si>
    <t xml:space="preserve">Alquiler  Tractor D8 -K </t>
  </si>
  <si>
    <t>hr</t>
  </si>
  <si>
    <t>Combustible</t>
  </si>
  <si>
    <t>gls/hr</t>
  </si>
  <si>
    <t>Lubricantes( 20% de Combust.)</t>
  </si>
  <si>
    <t>pa</t>
  </si>
  <si>
    <t>Operador(inc. Dieta)</t>
  </si>
  <si>
    <t>Costo/hora</t>
  </si>
  <si>
    <t>m3/hr</t>
  </si>
  <si>
    <t xml:space="preserve">CARGUIO DE MATERIAL DE BOTE ( 0.76 M3) </t>
  </si>
  <si>
    <t xml:space="preserve">ALQUILER  EXCAVADORA  416K </t>
  </si>
  <si>
    <t>COMBUSTIBLE  (80 HP X 0.04 )  (INCLUYE TRANSPORTE INTERNO)</t>
  </si>
  <si>
    <t>OPERARIO INCLUYE DIETA Y DORMITORIO</t>
  </si>
  <si>
    <t>Costo total p/hora</t>
  </si>
  <si>
    <t xml:space="preserve">RENDIMIENTO M3/HR </t>
  </si>
  <si>
    <t>COSTO POR M3</t>
  </si>
  <si>
    <t>RELLENO COMPACTADO CON EQUIPO DE PERCUCION CON MAT. DE LA EXCAVACION</t>
  </si>
  <si>
    <t xml:space="preserve">Alquiler de maquito </t>
  </si>
  <si>
    <t>dia</t>
  </si>
  <si>
    <t xml:space="preserve">regadores </t>
  </si>
  <si>
    <t xml:space="preserve">palero </t>
  </si>
  <si>
    <t>Carretillero</t>
  </si>
  <si>
    <t>Herramientas(3 % de a + b+ c)</t>
  </si>
  <si>
    <t>COSTO POR  M3</t>
  </si>
  <si>
    <t xml:space="preserve">SEÑALIZACION Y MANEJO DE TRANSITO Y SEGURIDAD VIAL </t>
  </si>
  <si>
    <t xml:space="preserve">HIDRANTE EN TUBERIA Ø3" </t>
  </si>
  <si>
    <t>PRUEBA HIDROSTATICA EN  TUBERIA  Ø3"</t>
  </si>
  <si>
    <t>CODO 3" X 90 ACERO (SCH-80) C/PROTECCION ANTICORROSIVA</t>
  </si>
  <si>
    <t>CODO 3" X 55 ACERO (SCH-80)C/PROTECCION ANTICORROSIVA</t>
  </si>
  <si>
    <t>CODO 3" X 45 ACERO(SCH-80) C/PROTECCION ANTICORROSIVA</t>
  </si>
  <si>
    <t>CODO 3" X 40 ACERO(SCH-80) C/PROTECCION ANTICORROSIVA</t>
  </si>
  <si>
    <t>TEE 3" X  3" ACERO (SCH-80)C/PROTECCION ANTICORROSIVA</t>
  </si>
  <si>
    <t>CRUZ 3" X 3" ACERO(SCH-80) C/PROTECCION ANTICORROSIVA</t>
  </si>
  <si>
    <r>
      <t>COLLARIN EN POLIETILENO Ø3</t>
    </r>
    <r>
      <rPr>
        <b/>
        <sz val="10"/>
        <rFont val="Arial"/>
        <family val="2"/>
      </rPr>
      <t>"</t>
    </r>
    <r>
      <rPr>
        <sz val="10"/>
        <rFont val="Arial"/>
        <family val="2"/>
      </rPr>
      <t xml:space="preserve"> (ABRAZADERA O CLAMP)</t>
    </r>
  </si>
  <si>
    <t>ADAPTADOR MACHO DE 1/2"  H.G. ROSCADO A MANGUERA</t>
  </si>
  <si>
    <t>CODO 1/2 x 90 H.G.</t>
  </si>
  <si>
    <t>TUBERIA DE HIERRO GALVANIZADO Ø1/2¨ (BASTONES)</t>
  </si>
  <si>
    <t>NIPLE 1/2¨ H.G.</t>
  </si>
  <si>
    <t>LLAVE DE CHORRO Ø1/2¨  X 90 H.G.</t>
  </si>
  <si>
    <t>CHECK DE 1/2" BRONCE</t>
  </si>
  <si>
    <t xml:space="preserve">EXCAVACION Y TAPADO </t>
  </si>
  <si>
    <t>BOTE DE MATERIAL CON CAMION  DISTANCIA 5 KM (INC. ESPARCIMIENTO EN BOTADERO)</t>
  </si>
  <si>
    <t>TUB. DE 6" PVC</t>
  </si>
  <si>
    <t>A EQUIPOS A USAR</t>
  </si>
  <si>
    <t>BOMBA HIDROSTATICA INC. MANOMETRO</t>
  </si>
  <si>
    <t>COMBUSTIBLE Y LUBRICANTES</t>
  </si>
  <si>
    <t>TAPONES 6" P/ PRUEBA</t>
  </si>
  <si>
    <t>MANGUERA 3/4" X 20'</t>
  </si>
  <si>
    <t>JUNTA DRESSER DE Ø6"</t>
  </si>
  <si>
    <t>TUB. ACERO P/AJUSTE TAPONES</t>
  </si>
  <si>
    <t>VALVULA DE AIRE 1/2"</t>
  </si>
  <si>
    <t xml:space="preserve">CONSIDERANDO 100 USOS </t>
  </si>
  <si>
    <t>B  AGUA / PARA 500 ML</t>
  </si>
  <si>
    <t>A X L + 55 GLS ADICIONALES</t>
  </si>
  <si>
    <t>C  PERSONAL   1000 ML/DIA</t>
  </si>
  <si>
    <t>PLOMERO</t>
  </si>
  <si>
    <t>AYUDANTES (2)</t>
  </si>
  <si>
    <t>COSTO RD$ ML</t>
  </si>
  <si>
    <t>H.S. 210KG/CM2+5% DESP.</t>
  </si>
  <si>
    <t>COLUMNAS C1 0.15X0.15 - 8.15QQ/M3  F'C=210KG/CM2</t>
  </si>
  <si>
    <t>REPARACION DE SERVICIOS EXISTENTES</t>
  </si>
  <si>
    <t>REPARACION DE AVERIAS EN TUBERIAS EXIST.</t>
  </si>
  <si>
    <t>SUMINISTRO Y COLOCACION TUBERIAS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</si>
  <si>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</si>
  <si>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</si>
  <si>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</si>
  <si>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</si>
  <si>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 (SCH-40)</t>
  </si>
  <si>
    <t>SUMINISTRO Y COLOCACION DE:</t>
  </si>
  <si>
    <t>COUPLING  Ø1/2" PVC</t>
  </si>
  <si>
    <t>COUPLING 3/4" PVC</t>
  </si>
  <si>
    <t>COUPLING 1" PVC</t>
  </si>
  <si>
    <t>COUPLING Ø2" PVC</t>
  </si>
  <si>
    <t>JUNTA MECANICA TIPO DRESSER 3" ACERO</t>
  </si>
  <si>
    <t>BOMBA DE ACHIQUE Ø3" (5,5 HP)</t>
  </si>
  <si>
    <t>1.2.1.1</t>
  </si>
  <si>
    <t>1.2.1.2</t>
  </si>
  <si>
    <t>1.2.1.3</t>
  </si>
  <si>
    <t>1.2.1.4</t>
  </si>
  <si>
    <t>1.2.1.5</t>
  </si>
  <si>
    <t>1.2.2.1</t>
  </si>
  <si>
    <t>1.2.2.2</t>
  </si>
  <si>
    <t>1.2.2.3</t>
  </si>
  <si>
    <t>1.2.2.4</t>
  </si>
  <si>
    <t>1.2.2.5</t>
  </si>
  <si>
    <t>1.2.3.1</t>
  </si>
  <si>
    <t xml:space="preserve">ESTUDIOS (SOCIALES, AMBIENTALES, GEOTECNICO, TOPOGRAFICO, DE CALIDAD, ETC) </t>
  </si>
  <si>
    <t xml:space="preserve">MEDIDA DE COMPENSACION AMBIENTAL </t>
  </si>
  <si>
    <t>DISEÑO Y SUPERVISION DE  OBRA</t>
  </si>
  <si>
    <t>CORTE DE ASFALTO  e=2"</t>
  </si>
  <si>
    <t>M3/KM</t>
  </si>
  <si>
    <t>costo total</t>
  </si>
  <si>
    <t xml:space="preserve">RELLENO COMPACTADO CON EQUIPO DE PERCUCION CON MAT. DE LA EXCAVACION EN CAPAS DE 0.20 M </t>
  </si>
  <si>
    <t xml:space="preserve">operador del maquito </t>
  </si>
  <si>
    <t>regador</t>
  </si>
  <si>
    <t xml:space="preserve">RELLENO COMPACTADO CON EQUIPO DE PERCUCION CON MAT. DE LA EXCAVACION EN CAPAS DE 0.30 M </t>
  </si>
  <si>
    <t>COUPLING 1/2" H.G.</t>
  </si>
  <si>
    <t>LIMPIEZA DE SUPERFICIE</t>
  </si>
  <si>
    <t>material de base para asfalto</t>
  </si>
  <si>
    <t>ANCLAJE  DE H.A.PARA  PIEZA ESPECIAL DE 6" ( SEGUN DETALLE)</t>
  </si>
  <si>
    <t xml:space="preserve">NICHO PARA PANELES </t>
  </si>
  <si>
    <t>VIGA AMARRE 0.15 x 0.20 - 4.57 QQ/M3</t>
  </si>
  <si>
    <t>LOSA DE TECHO 0.10 - 1.65 QQ/M3</t>
  </si>
  <si>
    <t>LOSA DE FONDO 0.20 - 1.37 qq/m3</t>
  </si>
  <si>
    <t>ZAPATA  DE MURO 0.98 - 1.07 qq/m3</t>
  </si>
  <si>
    <t>ZAPATA COLUMNA CENTRAL  0.35  - 2.80 qq/m3</t>
  </si>
  <si>
    <t>ZAPATA COLUMNA PERIMETRAL   0.35 - 2.91 qq/m3</t>
  </si>
  <si>
    <t>MURO 0.25  -  3.68 QQ/M3</t>
  </si>
  <si>
    <t>COLUMNA CENTRAL 0.35*0.35  - 4.12 QQ/M3</t>
  </si>
  <si>
    <t>COLUMNA CENTRAL 0.40*0.40  - 3.97 QQ/M3</t>
  </si>
  <si>
    <t>ZAPATA MURO 0.98 QQ/M3</t>
  </si>
  <si>
    <t>NICHO PARA PANELES</t>
  </si>
  <si>
    <t xml:space="preserve">INSTALACION </t>
  </si>
  <si>
    <t xml:space="preserve">TINER </t>
  </si>
  <si>
    <t>GALON</t>
  </si>
  <si>
    <t>CORTES  C/ PULIDORA (inc. disco)</t>
  </si>
  <si>
    <t>BOTE DE MATERIAL CON CAMION  DISTANCIA 5 KM INC. ESPARCIMIENTO EN BOTADERO</t>
  </si>
  <si>
    <t>REMOCION   DE  ASFALTICO 2"</t>
  </si>
  <si>
    <t xml:space="preserve">SUMINISTRO DE MATERIAL BASE  D=20KM  (SUJETO A APROBACION DEL SUPERVISOR) </t>
  </si>
  <si>
    <t>SUMINISTRO Y COLOCACION DE ASFALTO e=2"</t>
  </si>
  <si>
    <t xml:space="preserve">IMPRIMACION </t>
  </si>
  <si>
    <t>EXCAVACCION  DE  MATERIAL COMPACTO C/ EQUIPO   E=0.20</t>
  </si>
  <si>
    <t xml:space="preserve"> MATERIAL ROCA  CON EQUIPO 30%</t>
  </si>
  <si>
    <t>MATERIAL COMPACTO CON EQUIPO 70%</t>
  </si>
  <si>
    <t>CORTE, REMOCION Y BOTE DE ASFALTO (L=3,554.67M)</t>
  </si>
  <si>
    <t>EXC 70%</t>
  </si>
  <si>
    <t>EXC 30%</t>
  </si>
  <si>
    <t>CODO 3" X 65 ACERO (SCH-80) C/PROTECCION ANTICORROSIVA</t>
  </si>
  <si>
    <t>CODO 4" X 20 ACERO (SCH-80)C/PROTECCION ANTICORROSIVA</t>
  </si>
  <si>
    <t>TEE 4" X  4" ACERO (SCH-80)C/PROTECCION ANTICORROSIVA</t>
  </si>
  <si>
    <t>TEE 4" X  3" ACERO (SCH-80)C/PROTECCION ANTICORROSIVA</t>
  </si>
  <si>
    <t>CRUZ 6" X 4" ACERO(SCH-80) C/PROTECCION ANTICORROSIVA</t>
  </si>
  <si>
    <t>CRUZ 4" X 3" ACERO(SCH-80) C/PROTECCION ANTICORROSIVA</t>
  </si>
  <si>
    <t>REDUCCION 6"@ 4" ACERO(SCH-40) C/PROTECCION ANTICORROSIVA</t>
  </si>
  <si>
    <t>REDUCCION 4"@ 3" ACERO(SCH-40) C/PROTECCION ANTICORROSIVA</t>
  </si>
  <si>
    <t>SUMINISTRO Y COLOCACION DE VALVULA DE COMPUERTA PLATILLADA COMPLETAS DE 3" 150 PSI</t>
  </si>
  <si>
    <t>SUMINISTRO Y COLOCACION DE VALVULA DE COMPUERTA PLATILLADA COMPLETAS DE 4" 150 PSI</t>
  </si>
  <si>
    <t>TRAMSPORTE DE ASFALTO CALIENTE 40KM</t>
  </si>
  <si>
    <t>RELLENO COMPACTADO CON COMPACTADOR MECANICO EN CAPAS DE 0.20</t>
  </si>
  <si>
    <t xml:space="preserve">SUMI. TUBERIA DE Ø3" ACERO SCH-80 SIN COSTURA CON PROTECCION ANTICORROSIVA </t>
  </si>
  <si>
    <t>CODO 3"X 45 ACERO SCH-40 CON PROTECCION ANTICORROSIVA</t>
  </si>
  <si>
    <t>JUNTAS MECANICAS TIPO DRESSER Ø3"</t>
  </si>
  <si>
    <t>USO DE EQUIPO EXCAVADORA 80 HP PARA MANEJO DE AGUAS, EXCAVACION MATERIAL GRANULAR EN PRESENCIA DE AGUA, TAPADO EXCAVACION Y BOTE EN SITIO</t>
  </si>
  <si>
    <t>PINTURA ANTICORROSIVA</t>
  </si>
  <si>
    <t xml:space="preserve">SUMI. TUBERIA DE Ø4" ACERO SCH-80 SIN COSTURA CON PROTECCION ANTICORROSIVA </t>
  </si>
  <si>
    <t>CODO 4"X 45 ACERO SCH-40 CON PROTECCION ANTICORROSIVA</t>
  </si>
  <si>
    <t>JUNTAS MECANICAS TIPO DRESSER Ø4"</t>
  </si>
  <si>
    <t>ANCLAJE DE H.A</t>
  </si>
  <si>
    <t>DESVIO DE RIO</t>
  </si>
  <si>
    <t>SUMINISTRO DE TUBERIA DE Ø 4'' ACERO</t>
  </si>
  <si>
    <t>CODO 4 X 45 ACERO</t>
  </si>
  <si>
    <t>ANCLAJES H.S</t>
  </si>
  <si>
    <t>EXCAVACION EN PRESENCIA DE AGUA C/HOMBRES</t>
  </si>
  <si>
    <t xml:space="preserve">LIMPIEZA CONTINUA </t>
  </si>
  <si>
    <t>BOTE  DE MATERIAL EN  SITIO</t>
  </si>
  <si>
    <t>3.1.1</t>
  </si>
  <si>
    <t>3.1.2</t>
  </si>
  <si>
    <t>JUNTA MECANICA TIPO DRESSER DE Ø6'' 150PSI</t>
  </si>
  <si>
    <t>JUNTA MECANICA TIPO DRESSER DE Ø3'' 150PSI</t>
  </si>
  <si>
    <t>JUNTA MECANICA TIPO DRESSER DE Ø4'' 150PSI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</si>
  <si>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</si>
  <si>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</si>
  <si>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</si>
  <si>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</si>
  <si>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</si>
  <si>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</si>
  <si>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</si>
  <si>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</si>
  <si>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</si>
  <si>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</si>
  <si>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</si>
  <si>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</si>
  <si>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</si>
  <si>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</si>
  <si>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</si>
  <si>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</si>
  <si>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</si>
  <si>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ANCLAJE  H.S. PARA PIEZAS DE 3"  Y 4"(SEGUN DETALLE)</t>
  </si>
  <si>
    <t xml:space="preserve">ANCLAJE  DE H.A. PARA JUNTA TAPON </t>
  </si>
  <si>
    <t xml:space="preserve">SUMINISTRO Y COLOCACION DE: </t>
  </si>
  <si>
    <t xml:space="preserve">CRUCE POR DENTRO DE CAÑADA  EXISTENTE EN TUBERIA DE Ø3" ACERO L=10.00 M   ( INCLUYE 2.00 M DE LADOS ) ( 1UD ) </t>
  </si>
  <si>
    <t xml:space="preserve">CRUCE POR DENTRO DE ALCANTARILLA EXISTENTE EN TUBERIA DE Ø4" ACERO L=10.00 M   ( INCLUYE 2.00 M DE LADOS ) ( 1UD ) </t>
  </si>
  <si>
    <t>JUNTA TAPON DE 3" ACERO(SCH-80) C/PROTECCION ANTICORROSIVA</t>
  </si>
  <si>
    <t>EL RODEO</t>
  </si>
  <si>
    <t>CODO 3" X 20 ACERO (SCH-80)C/PROTECCION ANTICORROSIVA</t>
  </si>
  <si>
    <t>CODO 3" X 15 ACERO (SCH-80)C/PROTECCION ANTICORROSIVA</t>
  </si>
  <si>
    <t>las tejas</t>
  </si>
  <si>
    <t>ACOMETIDAS RURALES CON POLIETILENO ( 170 U )</t>
  </si>
  <si>
    <t>REPOSICION CARPETA ASFALTICA (L=1,424.86M)</t>
  </si>
  <si>
    <t xml:space="preserve">CRUCE POR DENTRO DE CAÑADA  EXISTENTE EN TUBERIA DE Ø4" ACERO L=6.00 M   ( INCLUYE 2.00 M DE LADOS ) ( 1UD ) </t>
  </si>
  <si>
    <t>RELLENO COMPACTADO  A MANO</t>
  </si>
  <si>
    <t>RELLENO COMPACTADO A MANO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</si>
  <si>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</si>
  <si>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</si>
  <si>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</si>
  <si>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</si>
  <si>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</si>
  <si>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</si>
  <si>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</si>
  <si>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</si>
  <si>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</si>
  <si>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</si>
  <si>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CAJAS TELESCOPICAS</t>
  </si>
  <si>
    <t>NIPLE  DE Ø3". ACERO(SCH-80) C/PROTECCION ANTICORROSIVA</t>
  </si>
  <si>
    <t>NIPLE  DE Ø4". ACERO(SCH-80) C/PROTECCION ANTICORROSIVA</t>
  </si>
  <si>
    <t>CODO 3" X 25 ACERO (SCH-80)C/PROTECCION ANTICORROSIVA</t>
  </si>
  <si>
    <t>CODO 4" X 45 ACERO (SCH-80)C/PROTECCION ANTICORROSIVA</t>
  </si>
  <si>
    <t>NIPLE  DE Ø6". ACERO(SCH-80) C/PROTECCION ANTICORROSIVA</t>
  </si>
  <si>
    <t>Obra:  LINEA MATRIZ RED DE DISTRIBUCION ,ACUEDUCTO MULTIPLE LAS TEJAS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</si>
</sst>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\(&quot;RD$&quot;#,##0.00\)"/>
    <numFmt numFmtId="165" formatCode="&quot;RD$&quot;#,##0.00_);[Red]\(&quot;RD$&quot;#,##0.00\)"/>
    <numFmt numFmtId="166" formatCode="_(&quot;RD$&quot;* #,##0.00_);_(&quot;RD$&quot;* \(#,##0.00\);_(&quot;RD$&quot;* &quot;-&quot;??_);_(@_)"/>
    <numFmt numFmtId="167" formatCode="_-* #,##0.00\ _€_-;\-* #,##0.00\ _€_-;_-* &quot;-&quot;??\ _€_-;_-@_-"/>
    <numFmt numFmtId="168" formatCode="#,##0.00;[Red]#,##0.00"/>
    <numFmt numFmtId="169" formatCode="_-* #,##0.00_-;\-* #,##0.00_-;_-* &quot;-&quot;??_-;_-@_-"/>
    <numFmt numFmtId="170" formatCode="0.0"/>
    <numFmt numFmtId="171" formatCode="#,##0.00_ ;\-#,##0.00\ "/>
    <numFmt numFmtId="172" formatCode="0.0%"/>
    <numFmt numFmtId="173" formatCode="_-* #,##0.00\ _R_D_$_-;\-* #,##0.00\ _R_D_$_-;_-* &quot;-&quot;??\ _R_D_$_-;_-@_-"/>
    <numFmt numFmtId="174" formatCode="#,##0.000;[Red]#,##0.000"/>
    <numFmt numFmtId="175" formatCode="#,##0.0000;[Red]#,##0.0000"/>
    <numFmt numFmtId="176" formatCode="#,##0.00000;[Red]#,##0.00000"/>
    <numFmt numFmtId="177" formatCode="_-* #,##0.00\ _P_t_s_-;\-* #,##0.00\ _P_t_s_-;_-* &quot;-&quot;??\ _P_t_s_-;_-@_-"/>
    <numFmt numFmtId="178" formatCode="0.000"/>
    <numFmt numFmtId="179" formatCode="#,##0.0000"/>
    <numFmt numFmtId="180" formatCode="0.00000"/>
    <numFmt numFmtId="181" formatCode="0.0000"/>
    <numFmt numFmtId="182" formatCode="#,##0.00000_);\(#,##0.00000\)"/>
    <numFmt numFmtId="183" formatCode="_(* #,##0.000_);_(* \(#,##0.000\);_(* &quot;-&quot;??_);_(@_)"/>
    <numFmt numFmtId="184" formatCode="0.00_)"/>
    <numFmt numFmtId="185" formatCode="_-* #,##0\ &quot;€&quot;_-;\-* #,##0\ &quot;€&quot;_-;_-* &quot;-&quot;\ &quot;€&quot;_-;_-@_-"/>
    <numFmt numFmtId="186" formatCode="_-* #,##0.00\ &quot;€&quot;_-;\-* #,##0.00\ &quot;€&quot;_-;_-* &quot;-&quot;??\ &quot;€&quot;_-;_-@_-"/>
    <numFmt numFmtId="187" formatCode="#."/>
    <numFmt numFmtId="188" formatCode="#.0"/>
    <numFmt numFmtId="189" formatCode="#.00"/>
    <numFmt numFmtId="190" formatCode="General_)"/>
    <numFmt numFmtId="191" formatCode="#,##0.00\ &quot;€&quot;;[Red]\-#,##0.00\ &quot;€&quot;"/>
    <numFmt numFmtId="192" formatCode="#,##0.000"/>
    <numFmt numFmtId="193" formatCode="#,##0.0000000;[Red]#,##0.0000000"/>
    <numFmt numFmtId="194" formatCode="_-* #,##0\ _€_-;\-* #,##0\ _€_-;_-* &quot;-&quot;\ _€_-;_-@_-"/>
    <numFmt numFmtId="195" formatCode="&quot;Sí&quot;;&quot;Sí&quot;;&quot;No&quot;"/>
    <numFmt numFmtId="196" formatCode="_-[$€]* #,##0.00_-;\-[$€]* #,##0.00_-;_-[$€]* &quot;-&quot;??_-;_-@_-"/>
    <numFmt numFmtId="197" formatCode="_-* #,##0.00\ &quot;Pts&quot;_-;\-* #,##0.00\ &quot;Pts&quot;_-;_-* &quot;-&quot;??\ &quot;Pts&quot;_-;_-@_-"/>
    <numFmt numFmtId="198" formatCode="#,##0.0"/>
    <numFmt numFmtId="199" formatCode="#,##0;\-#,##0"/>
    <numFmt numFmtId="200" formatCode="#.00&quot; M3/DIA&quot;#"/>
    <numFmt numFmtId="201" formatCode="#,##0.0;\-#,##0.0"/>
    <numFmt numFmtId="202" formatCode="mmmm\ d\,\ yyyy"/>
    <numFmt numFmtId="203" formatCode="_-[$€-2]* #,##0.00_-;\-[$€-2]* #,##0.00_-;_-[$€-2]* &quot;-&quot;??_-"/>
    <numFmt numFmtId="204" formatCode="0.000%"/>
    <numFmt numFmtId="205" formatCode="_ * #,##0.00_ ;_ * \-#,##0.00_ ;_ * &quot;-&quot;??_ ;_ @_ 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sz val="10"/>
      <color indexed="63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sz val="9"/>
      <color indexed="52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b/>
      <sz val="10"/>
      <color indexed="23"/>
      <name val="Arial"/>
      <family val="2"/>
    </font>
    <font>
      <b/>
      <sz val="9"/>
      <color indexed="8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6"/>
      <name val="Arial"/>
      <family val="2"/>
    </font>
    <font>
      <sz val="11"/>
      <color indexed="18"/>
      <name val="Times New Roman"/>
      <family val="1"/>
    </font>
    <font>
      <sz val="6"/>
      <name val="Times New Roman"/>
      <family val="1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9"/>
      <color indexed="12"/>
      <name val="Arial"/>
      <family val="2"/>
    </font>
    <font>
      <b/>
      <u/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Tms Rmn"/>
    </font>
    <font>
      <b/>
      <sz val="8"/>
      <color rgb="FFFF0000"/>
      <name val="Arial"/>
      <family val="2"/>
    </font>
    <font>
      <sz val="8"/>
      <name val="Times New Roman"/>
      <family val="1"/>
    </font>
    <font>
      <b/>
      <u/>
      <sz val="8"/>
      <name val="Times New Roman"/>
      <family val="1"/>
    </font>
    <font>
      <sz val="8"/>
      <color indexed="62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8.5"/>
      <color rgb="FFFF0000"/>
      <name val="Arial"/>
      <family val="2"/>
    </font>
    <font>
      <b/>
      <sz val="9"/>
      <name val="Times New Roman"/>
      <family val="1"/>
    </font>
    <font>
      <sz val="12"/>
      <color indexed="8"/>
      <name val="Arial"/>
      <family val="2"/>
    </font>
    <font>
      <sz val="10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18"/>
      </top>
      <bottom style="double">
        <color indexed="1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rgb="FF339966"/>
      </left>
      <right style="medium">
        <color rgb="FF339966"/>
      </right>
      <top style="medium">
        <color rgb="FF339966"/>
      </top>
      <bottom style="medium">
        <color rgb="FF339966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9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1" fillId="0" borderId="0"/>
    <xf numFmtId="169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84" fontId="19" fillId="0" borderId="0"/>
    <xf numFmtId="0" fontId="53" fillId="0" borderId="0"/>
    <xf numFmtId="43" fontId="54" fillId="0" borderId="0" applyFont="0" applyFill="0" applyBorder="0" applyAlignment="0" applyProtection="0"/>
    <xf numFmtId="0" fontId="4" fillId="0" borderId="0"/>
    <xf numFmtId="39" fontId="7" fillId="0" borderId="0"/>
    <xf numFmtId="9" fontId="4" fillId="0" borderId="0" applyFont="0" applyFill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1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3" borderId="0" applyNumberFormat="0" applyBorder="0" applyAlignment="0" applyProtection="0"/>
    <xf numFmtId="0" fontId="55" fillId="21" borderId="0" applyNumberFormat="0" applyBorder="0" applyAlignment="0" applyProtection="0"/>
    <xf numFmtId="0" fontId="56" fillId="23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5" borderId="0" applyNumberFormat="0" applyBorder="0" applyAlignment="0" applyProtection="0"/>
    <xf numFmtId="0" fontId="56" fillId="23" borderId="0" applyNumberFormat="0" applyBorder="0" applyAlignment="0" applyProtection="0"/>
    <xf numFmtId="0" fontId="56" fillId="20" borderId="0" applyNumberFormat="0" applyBorder="0" applyAlignment="0" applyProtection="0"/>
    <xf numFmtId="0" fontId="56" fillId="28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14" borderId="64" applyNumberFormat="0" applyAlignment="0" applyProtection="0"/>
    <xf numFmtId="0" fontId="59" fillId="33" borderId="65" applyNumberFormat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6" fontId="55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7" fontId="61" fillId="0" borderId="0">
      <protection locked="0"/>
    </xf>
    <xf numFmtId="187" fontId="62" fillId="0" borderId="0">
      <protection locked="0"/>
    </xf>
    <xf numFmtId="187" fontId="62" fillId="0" borderId="0">
      <protection locked="0"/>
    </xf>
    <xf numFmtId="187" fontId="62" fillId="0" borderId="0">
      <protection locked="0"/>
    </xf>
    <xf numFmtId="187" fontId="62" fillId="0" borderId="0">
      <protection locked="0"/>
    </xf>
    <xf numFmtId="187" fontId="62" fillId="0" borderId="0">
      <protection locked="0"/>
    </xf>
    <xf numFmtId="187" fontId="62" fillId="0" borderId="0">
      <protection locked="0"/>
    </xf>
    <xf numFmtId="0" fontId="63" fillId="23" borderId="0" applyNumberFormat="0" applyBorder="0" applyAlignment="0" applyProtection="0"/>
    <xf numFmtId="0" fontId="64" fillId="0" borderId="66" applyNumberFormat="0" applyFill="0" applyAlignment="0" applyProtection="0"/>
    <xf numFmtId="0" fontId="65" fillId="0" borderId="67" applyNumberFormat="0" applyFill="0" applyAlignment="0" applyProtection="0"/>
    <xf numFmtId="0" fontId="66" fillId="0" borderId="68" applyNumberFormat="0" applyFill="0" applyAlignment="0" applyProtection="0"/>
    <xf numFmtId="0" fontId="66" fillId="0" borderId="0" applyNumberFormat="0" applyFill="0" applyBorder="0" applyAlignment="0" applyProtection="0"/>
    <xf numFmtId="0" fontId="67" fillId="24" borderId="64" applyNumberFormat="0" applyAlignment="0" applyProtection="0"/>
    <xf numFmtId="0" fontId="68" fillId="0" borderId="69" applyNumberFormat="0" applyFill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5" fillId="0" borderId="0" applyFont="0" applyFill="0" applyBorder="0" applyAlignment="0" applyProtection="0"/>
    <xf numFmtId="189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69" fillId="0" borderId="0"/>
    <xf numFmtId="184" fontId="70" fillId="0" borderId="0"/>
    <xf numFmtId="0" fontId="4" fillId="0" borderId="0"/>
    <xf numFmtId="0" fontId="4" fillId="0" borderId="0"/>
    <xf numFmtId="0" fontId="4" fillId="0" borderId="0"/>
    <xf numFmtId="39" fontId="7" fillId="0" borderId="0"/>
    <xf numFmtId="0" fontId="4" fillId="0" borderId="0"/>
    <xf numFmtId="0" fontId="53" fillId="0" borderId="0"/>
    <xf numFmtId="0" fontId="4" fillId="0" borderId="0"/>
    <xf numFmtId="0" fontId="4" fillId="21" borderId="70" applyNumberFormat="0" applyFont="0" applyAlignment="0" applyProtection="0"/>
    <xf numFmtId="0" fontId="71" fillId="14" borderId="71" applyNumberFormat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4" fillId="0" borderId="0" applyFont="0" applyFill="0" applyBorder="0" applyAlignment="0" applyProtection="0"/>
    <xf numFmtId="167" fontId="73" fillId="0" borderId="0" applyFont="0" applyFill="0" applyBorder="0" applyAlignment="0" applyProtection="0"/>
    <xf numFmtId="17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39" fontId="74" fillId="0" borderId="0"/>
    <xf numFmtId="0" fontId="4" fillId="0" borderId="0"/>
    <xf numFmtId="190" fontId="19" fillId="0" borderId="0"/>
    <xf numFmtId="188" fontId="69" fillId="0" borderId="0"/>
    <xf numFmtId="0" fontId="4" fillId="0" borderId="0"/>
    <xf numFmtId="0" fontId="4" fillId="0" borderId="0"/>
    <xf numFmtId="188" fontId="69" fillId="0" borderId="0"/>
    <xf numFmtId="0" fontId="2" fillId="0" borderId="0"/>
    <xf numFmtId="189" fontId="69" fillId="0" borderId="0"/>
    <xf numFmtId="9" fontId="7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/>
    <xf numFmtId="0" fontId="4" fillId="0" borderId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0" fontId="4" fillId="0" borderId="0"/>
    <xf numFmtId="20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6" fontId="74" fillId="0" borderId="0" applyFont="0" applyFill="0" applyBorder="0" applyAlignment="0" applyProtection="0"/>
    <xf numFmtId="0" fontId="4" fillId="0" borderId="0"/>
    <xf numFmtId="39" fontId="74" fillId="0" borderId="0"/>
    <xf numFmtId="39" fontId="74" fillId="0" borderId="0"/>
    <xf numFmtId="0" fontId="4" fillId="0" borderId="0"/>
    <xf numFmtId="0" fontId="41" fillId="0" borderId="0"/>
    <xf numFmtId="39" fontId="7" fillId="0" borderId="0"/>
    <xf numFmtId="39" fontId="74" fillId="0" borderId="0"/>
    <xf numFmtId="39" fontId="74" fillId="0" borderId="0"/>
    <xf numFmtId="0" fontId="4" fillId="0" borderId="0"/>
    <xf numFmtId="202" fontId="19" fillId="0" borderId="0"/>
    <xf numFmtId="0" fontId="8" fillId="0" borderId="0"/>
    <xf numFmtId="39" fontId="74" fillId="0" borderId="0"/>
    <xf numFmtId="39" fontId="7" fillId="0" borderId="0"/>
    <xf numFmtId="0" fontId="4" fillId="0" borderId="0"/>
    <xf numFmtId="0" fontId="4" fillId="0" borderId="0"/>
    <xf numFmtId="0" fontId="55" fillId="0" borderId="0"/>
    <xf numFmtId="39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7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1792">
    <xf numFmtId="0" fontId="0" fillId="0" borderId="0" xfId="0"/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0" fontId="4" fillId="2" borderId="0" xfId="0" applyFont="1" applyFill="1" applyAlignment="1"/>
    <xf numFmtId="0" fontId="3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/>
    </xf>
    <xf numFmtId="0" fontId="15" fillId="3" borderId="0" xfId="0" applyFont="1" applyFill="1" applyBorder="1"/>
    <xf numFmtId="0" fontId="15" fillId="0" borderId="0" xfId="0" applyFont="1" applyBorder="1"/>
    <xf numFmtId="0" fontId="16" fillId="3" borderId="0" xfId="0" applyFont="1" applyFill="1" applyBorder="1" applyAlignment="1">
      <alignment horizontal="center"/>
    </xf>
    <xf numFmtId="0" fontId="0" fillId="3" borderId="0" xfId="0" applyFill="1"/>
    <xf numFmtId="0" fontId="17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8" fontId="0" fillId="0" borderId="0" xfId="0" applyNumberFormat="1"/>
    <xf numFmtId="168" fontId="0" fillId="3" borderId="1" xfId="0" applyNumberFormat="1" applyFill="1" applyBorder="1"/>
    <xf numFmtId="168" fontId="0" fillId="3" borderId="5" xfId="0" applyNumberFormat="1" applyFill="1" applyBorder="1"/>
    <xf numFmtId="168" fontId="0" fillId="3" borderId="0" xfId="0" applyNumberFormat="1" applyFill="1"/>
    <xf numFmtId="168" fontId="8" fillId="3" borderId="5" xfId="0" applyNumberFormat="1" applyFont="1" applyFill="1" applyBorder="1" applyAlignment="1">
      <alignment horizontal="center"/>
    </xf>
    <xf numFmtId="43" fontId="0" fillId="3" borderId="5" xfId="0" applyNumberFormat="1" applyFill="1" applyBorder="1"/>
    <xf numFmtId="174" fontId="8" fillId="3" borderId="5" xfId="0" applyNumberFormat="1" applyFont="1" applyFill="1" applyBorder="1" applyAlignment="1">
      <alignment horizontal="center"/>
    </xf>
    <xf numFmtId="175" fontId="8" fillId="3" borderId="5" xfId="0" applyNumberFormat="1" applyFont="1" applyFill="1" applyBorder="1"/>
    <xf numFmtId="176" fontId="8" fillId="3" borderId="5" xfId="0" applyNumberFormat="1" applyFont="1" applyFill="1" applyBorder="1"/>
    <xf numFmtId="2" fontId="0" fillId="0" borderId="1" xfId="0" applyNumberFormat="1" applyFill="1" applyBorder="1"/>
    <xf numFmtId="43" fontId="0" fillId="3" borderId="1" xfId="0" applyNumberFormat="1" applyFill="1" applyBorder="1"/>
    <xf numFmtId="174" fontId="8" fillId="3" borderId="1" xfId="0" applyNumberFormat="1" applyFont="1" applyFill="1" applyBorder="1" applyAlignment="1">
      <alignment horizontal="center"/>
    </xf>
    <xf numFmtId="175" fontId="8" fillId="3" borderId="1" xfId="0" applyNumberFormat="1" applyFont="1" applyFill="1" applyBorder="1"/>
    <xf numFmtId="176" fontId="8" fillId="3" borderId="1" xfId="0" applyNumberFormat="1" applyFont="1" applyFill="1" applyBorder="1"/>
    <xf numFmtId="168" fontId="0" fillId="3" borderId="3" xfId="0" applyNumberFormat="1" applyFill="1" applyBorder="1"/>
    <xf numFmtId="168" fontId="0" fillId="4" borderId="12" xfId="0" applyNumberFormat="1" applyFill="1" applyBorder="1"/>
    <xf numFmtId="168" fontId="0" fillId="4" borderId="13" xfId="0" applyNumberFormat="1" applyFill="1" applyBorder="1"/>
    <xf numFmtId="43" fontId="18" fillId="4" borderId="8" xfId="0" applyNumberFormat="1" applyFont="1" applyFill="1" applyBorder="1"/>
    <xf numFmtId="168" fontId="3" fillId="3" borderId="0" xfId="0" applyNumberFormat="1" applyFont="1" applyFill="1" applyBorder="1"/>
    <xf numFmtId="168" fontId="3" fillId="4" borderId="8" xfId="0" applyNumberFormat="1" applyFont="1" applyFill="1" applyBorder="1"/>
    <xf numFmtId="168" fontId="0" fillId="3" borderId="0" xfId="0" applyNumberFormat="1" applyFill="1" applyBorder="1"/>
    <xf numFmtId="168" fontId="18" fillId="3" borderId="0" xfId="0" applyNumberFormat="1" applyFont="1" applyFill="1" applyBorder="1" applyAlignment="1">
      <alignment horizontal="center"/>
    </xf>
    <xf numFmtId="168" fontId="18" fillId="0" borderId="0" xfId="0" applyNumberFormat="1" applyFont="1" applyFill="1" applyBorder="1"/>
    <xf numFmtId="168" fontId="18" fillId="0" borderId="0" xfId="0" applyNumberFormat="1" applyFont="1" applyFill="1" applyBorder="1" applyAlignment="1">
      <alignment horizontal="center"/>
    </xf>
    <xf numFmtId="168" fontId="18" fillId="3" borderId="0" xfId="0" applyNumberFormat="1" applyFont="1" applyFill="1" applyBorder="1"/>
    <xf numFmtId="168" fontId="0" fillId="0" borderId="0" xfId="0" applyNumberFormat="1" applyFill="1"/>
    <xf numFmtId="168" fontId="18" fillId="4" borderId="11" xfId="0" applyNumberFormat="1" applyFont="1" applyFill="1" applyBorder="1"/>
    <xf numFmtId="168" fontId="18" fillId="4" borderId="12" xfId="0" applyNumberFormat="1" applyFont="1" applyFill="1" applyBorder="1"/>
    <xf numFmtId="43" fontId="18" fillId="4" borderId="13" xfId="0" applyNumberFormat="1" applyFont="1" applyFill="1" applyBorder="1"/>
    <xf numFmtId="168" fontId="19" fillId="4" borderId="12" xfId="0" applyNumberFormat="1" applyFont="1" applyFill="1" applyBorder="1"/>
    <xf numFmtId="168" fontId="3" fillId="0" borderId="8" xfId="0" applyNumberFormat="1" applyFont="1" applyFill="1" applyBorder="1" applyAlignment="1">
      <alignment horizontal="center"/>
    </xf>
    <xf numFmtId="168" fontId="3" fillId="4" borderId="8" xfId="0" applyNumberFormat="1" applyFont="1" applyFill="1" applyBorder="1" applyAlignment="1">
      <alignment horizontal="center"/>
    </xf>
    <xf numFmtId="9" fontId="13" fillId="0" borderId="5" xfId="10" applyFill="1" applyBorder="1" applyAlignment="1">
      <alignment horizontal="center"/>
    </xf>
    <xf numFmtId="43" fontId="0" fillId="4" borderId="5" xfId="0" applyNumberFormat="1" applyFill="1" applyBorder="1"/>
    <xf numFmtId="9" fontId="13" fillId="0" borderId="1" xfId="10" applyFill="1" applyBorder="1" applyAlignment="1">
      <alignment horizontal="center"/>
    </xf>
    <xf numFmtId="43" fontId="0" fillId="4" borderId="1" xfId="0" applyNumberFormat="1" applyFill="1" applyBorder="1"/>
    <xf numFmtId="0" fontId="3" fillId="6" borderId="0" xfId="0" applyFont="1" applyFill="1" applyAlignment="1">
      <alignment horizontal="center" vertical="top" wrapText="1"/>
    </xf>
    <xf numFmtId="0" fontId="0" fillId="2" borderId="0" xfId="0" applyFill="1"/>
    <xf numFmtId="168" fontId="4" fillId="7" borderId="4" xfId="0" applyNumberFormat="1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0" borderId="0" xfId="0" applyFont="1"/>
    <xf numFmtId="0" fontId="3" fillId="0" borderId="0" xfId="0" applyFont="1"/>
    <xf numFmtId="168" fontId="4" fillId="3" borderId="14" xfId="0" applyNumberFormat="1" applyFont="1" applyFill="1" applyBorder="1"/>
    <xf numFmtId="168" fontId="0" fillId="3" borderId="15" xfId="0" applyNumberFormat="1" applyFill="1" applyBorder="1"/>
    <xf numFmtId="168" fontId="0" fillId="3" borderId="16" xfId="0" applyNumberFormat="1" applyFill="1" applyBorder="1"/>
    <xf numFmtId="168" fontId="0" fillId="3" borderId="17" xfId="0" applyNumberFormat="1" applyFill="1" applyBorder="1"/>
    <xf numFmtId="0" fontId="4" fillId="6" borderId="0" xfId="0" applyFont="1" applyFill="1" applyAlignment="1">
      <alignment vertical="top" wrapText="1"/>
    </xf>
    <xf numFmtId="168" fontId="4" fillId="2" borderId="4" xfId="0" applyNumberFormat="1" applyFont="1" applyFill="1" applyBorder="1" applyAlignment="1">
      <alignment horizontal="right"/>
    </xf>
    <xf numFmtId="0" fontId="3" fillId="7" borderId="0" xfId="0" applyFont="1" applyFill="1" applyAlignment="1">
      <alignment horizontal="center" vertical="top" wrapText="1"/>
    </xf>
    <xf numFmtId="0" fontId="4" fillId="7" borderId="4" xfId="0" applyFont="1" applyFill="1" applyBorder="1" applyAlignment="1">
      <alignment horizontal="left"/>
    </xf>
    <xf numFmtId="168" fontId="4" fillId="7" borderId="4" xfId="0" applyNumberFormat="1" applyFont="1" applyFill="1" applyBorder="1" applyAlignment="1">
      <alignment horizontal="right"/>
    </xf>
    <xf numFmtId="0" fontId="3" fillId="4" borderId="24" xfId="19" applyFont="1" applyFill="1" applyBorder="1" applyAlignment="1">
      <alignment vertical="top" wrapText="1"/>
    </xf>
    <xf numFmtId="0" fontId="14" fillId="4" borderId="25" xfId="19" applyFont="1" applyFill="1" applyBorder="1" applyAlignment="1">
      <alignment vertical="top" wrapText="1"/>
    </xf>
    <xf numFmtId="0" fontId="3" fillId="4" borderId="25" xfId="19" applyFont="1" applyFill="1" applyBorder="1" applyAlignment="1">
      <alignment horizontal="right" vertical="top" wrapText="1"/>
    </xf>
    <xf numFmtId="0" fontId="14" fillId="4" borderId="26" xfId="19" applyFont="1" applyFill="1" applyBorder="1" applyAlignment="1">
      <alignment vertical="top" wrapText="1"/>
    </xf>
    <xf numFmtId="0" fontId="26" fillId="3" borderId="25" xfId="19" applyFont="1" applyFill="1" applyBorder="1" applyAlignment="1">
      <alignment horizontal="center" vertical="top" wrapText="1"/>
    </xf>
    <xf numFmtId="0" fontId="27" fillId="3" borderId="27" xfId="19" applyFont="1" applyFill="1" applyBorder="1" applyAlignment="1">
      <alignment horizontal="center" vertical="top" wrapText="1"/>
    </xf>
    <xf numFmtId="4" fontId="27" fillId="3" borderId="27" xfId="19" applyNumberFormat="1" applyFont="1" applyFill="1" applyBorder="1" applyAlignment="1">
      <alignment horizontal="center" vertical="top" wrapText="1"/>
    </xf>
    <xf numFmtId="0" fontId="6" fillId="3" borderId="27" xfId="19" applyFont="1" applyFill="1" applyBorder="1" applyAlignment="1">
      <alignment horizontal="left"/>
    </xf>
    <xf numFmtId="4" fontId="6" fillId="3" borderId="27" xfId="20" applyNumberFormat="1" applyFont="1" applyFill="1" applyBorder="1"/>
    <xf numFmtId="169" fontId="6" fillId="0" borderId="27" xfId="20" applyFont="1" applyFill="1" applyBorder="1" applyAlignment="1">
      <alignment horizontal="centerContinuous"/>
    </xf>
    <xf numFmtId="4" fontId="28" fillId="10" borderId="27" xfId="20" applyNumberFormat="1" applyFont="1" applyFill="1" applyBorder="1"/>
    <xf numFmtId="4" fontId="28" fillId="3" borderId="27" xfId="20" applyNumberFormat="1" applyFont="1" applyFill="1" applyBorder="1"/>
    <xf numFmtId="0" fontId="3" fillId="3" borderId="27" xfId="21" applyFont="1" applyFill="1" applyBorder="1" applyAlignment="1">
      <alignment vertical="top"/>
    </xf>
    <xf numFmtId="4" fontId="6" fillId="10" borderId="27" xfId="20" applyNumberFormat="1" applyFont="1" applyFill="1" applyBorder="1"/>
    <xf numFmtId="0" fontId="4" fillId="3" borderId="27" xfId="21" applyFont="1" applyFill="1" applyBorder="1" applyAlignment="1">
      <alignment vertical="top"/>
    </xf>
    <xf numFmtId="4" fontId="4" fillId="3" borderId="27" xfId="21" applyNumberFormat="1" applyFont="1" applyFill="1" applyBorder="1" applyAlignment="1">
      <alignment horizontal="right" vertical="top"/>
    </xf>
    <xf numFmtId="0" fontId="4" fillId="3" borderId="27" xfId="21" applyFont="1" applyFill="1" applyBorder="1" applyAlignment="1">
      <alignment horizontal="center" vertical="top"/>
    </xf>
    <xf numFmtId="4" fontId="4" fillId="3" borderId="27" xfId="21" applyNumberFormat="1" applyFont="1" applyFill="1" applyBorder="1" applyAlignment="1">
      <alignment vertical="top"/>
    </xf>
    <xf numFmtId="171" fontId="4" fillId="3" borderId="27" xfId="22" applyNumberFormat="1" applyFont="1" applyFill="1" applyBorder="1" applyAlignment="1">
      <alignment vertical="top" wrapText="1"/>
    </xf>
    <xf numFmtId="0" fontId="3" fillId="3" borderId="27" xfId="21" applyFont="1" applyFill="1" applyBorder="1" applyAlignment="1">
      <alignment horizontal="right" vertical="top"/>
    </xf>
    <xf numFmtId="4" fontId="3" fillId="3" borderId="27" xfId="21" applyNumberFormat="1" applyFont="1" applyFill="1" applyBorder="1" applyAlignment="1">
      <alignment vertical="top"/>
    </xf>
    <xf numFmtId="171" fontId="3" fillId="3" borderId="27" xfId="22" applyNumberFormat="1" applyFont="1" applyFill="1" applyBorder="1" applyAlignment="1">
      <alignment vertical="top" wrapText="1"/>
    </xf>
    <xf numFmtId="0" fontId="6" fillId="3" borderId="0" xfId="19" applyFont="1" applyFill="1"/>
    <xf numFmtId="4" fontId="6" fillId="3" borderId="0" xfId="19" applyNumberFormat="1" applyFont="1" applyFill="1"/>
    <xf numFmtId="39" fontId="6" fillId="3" borderId="0" xfId="19" quotePrefix="1" applyNumberFormat="1" applyFont="1" applyFill="1" applyBorder="1" applyAlignment="1">
      <alignment horizontal="left"/>
    </xf>
    <xf numFmtId="0" fontId="24" fillId="3" borderId="0" xfId="19" quotePrefix="1" applyFont="1" applyFill="1" applyAlignment="1">
      <alignment horizontal="left"/>
    </xf>
    <xf numFmtId="0" fontId="6" fillId="3" borderId="28" xfId="19" applyFont="1" applyFill="1" applyBorder="1"/>
    <xf numFmtId="4" fontId="6" fillId="3" borderId="29" xfId="19" applyNumberFormat="1" applyFont="1" applyFill="1" applyBorder="1"/>
    <xf numFmtId="39" fontId="6" fillId="0" borderId="29" xfId="19" applyNumberFormat="1" applyFont="1" applyFill="1" applyBorder="1" applyAlignment="1">
      <alignment horizontal="center"/>
    </xf>
    <xf numFmtId="4" fontId="28" fillId="10" borderId="30" xfId="19" applyNumberFormat="1" applyFont="1" applyFill="1" applyBorder="1"/>
    <xf numFmtId="4" fontId="6" fillId="3" borderId="31" xfId="20" applyNumberFormat="1" applyFont="1" applyFill="1" applyBorder="1"/>
    <xf numFmtId="0" fontId="6" fillId="3" borderId="32" xfId="19" applyFont="1" applyFill="1" applyBorder="1"/>
    <xf numFmtId="4" fontId="6" fillId="3" borderId="5" xfId="19" applyNumberFormat="1" applyFont="1" applyFill="1" applyBorder="1"/>
    <xf numFmtId="39" fontId="6" fillId="0" borderId="5" xfId="19" applyNumberFormat="1" applyFont="1" applyFill="1" applyBorder="1" applyAlignment="1">
      <alignment horizontal="center"/>
    </xf>
    <xf numFmtId="4" fontId="6" fillId="3" borderId="16" xfId="19" applyNumberFormat="1" applyFont="1" applyFill="1" applyBorder="1"/>
    <xf numFmtId="4" fontId="6" fillId="3" borderId="33" xfId="20" applyNumberFormat="1" applyFont="1" applyFill="1" applyBorder="1"/>
    <xf numFmtId="0" fontId="6" fillId="3" borderId="34" xfId="19" applyFont="1" applyFill="1" applyBorder="1"/>
    <xf numFmtId="4" fontId="6" fillId="3" borderId="1" xfId="19" applyNumberFormat="1" applyFont="1" applyFill="1" applyBorder="1"/>
    <xf numFmtId="39" fontId="6" fillId="0" borderId="1" xfId="19" applyNumberFormat="1" applyFont="1" applyFill="1" applyBorder="1" applyAlignment="1">
      <alignment horizontal="center"/>
    </xf>
    <xf numFmtId="4" fontId="6" fillId="3" borderId="18" xfId="19" applyNumberFormat="1" applyFont="1" applyFill="1" applyBorder="1"/>
    <xf numFmtId="39" fontId="24" fillId="3" borderId="35" xfId="19" quotePrefix="1" applyNumberFormat="1" applyFont="1" applyFill="1" applyBorder="1" applyAlignment="1">
      <alignment horizontal="left"/>
    </xf>
    <xf numFmtId="4" fontId="24" fillId="3" borderId="36" xfId="19" quotePrefix="1" applyNumberFormat="1" applyFont="1" applyFill="1" applyBorder="1" applyAlignment="1">
      <alignment horizontal="left"/>
    </xf>
    <xf numFmtId="39" fontId="6" fillId="0" borderId="36" xfId="19" applyNumberFormat="1" applyFont="1" applyFill="1" applyBorder="1"/>
    <xf numFmtId="4" fontId="24" fillId="3" borderId="36" xfId="19" quotePrefix="1" applyNumberFormat="1" applyFont="1" applyFill="1" applyBorder="1" applyAlignment="1">
      <alignment horizontal="right"/>
    </xf>
    <xf numFmtId="4" fontId="24" fillId="3" borderId="37" xfId="19" applyNumberFormat="1" applyFont="1" applyFill="1" applyBorder="1"/>
    <xf numFmtId="4" fontId="6" fillId="3" borderId="38" xfId="20" applyNumberFormat="1" applyFont="1" applyFill="1" applyBorder="1"/>
    <xf numFmtId="0" fontId="6" fillId="3" borderId="35" xfId="19" applyFont="1" applyFill="1" applyBorder="1"/>
    <xf numFmtId="4" fontId="24" fillId="3" borderId="39" xfId="19" applyNumberFormat="1" applyFont="1" applyFill="1" applyBorder="1"/>
    <xf numFmtId="0" fontId="6" fillId="3" borderId="0" xfId="19" applyFont="1" applyFill="1" applyBorder="1"/>
    <xf numFmtId="4" fontId="24" fillId="3" borderId="0" xfId="19" quotePrefix="1" applyNumberFormat="1" applyFont="1" applyFill="1" applyBorder="1" applyAlignment="1">
      <alignment horizontal="left"/>
    </xf>
    <xf numFmtId="39" fontId="6" fillId="0" borderId="0" xfId="19" applyNumberFormat="1" applyFont="1" applyFill="1" applyBorder="1"/>
    <xf numFmtId="4" fontId="6" fillId="3" borderId="0" xfId="19" applyNumberFormat="1" applyFont="1" applyFill="1" applyBorder="1"/>
    <xf numFmtId="4" fontId="24" fillId="3" borderId="0" xfId="19" applyNumberFormat="1" applyFont="1" applyFill="1" applyBorder="1"/>
    <xf numFmtId="39" fontId="6" fillId="0" borderId="29" xfId="19" applyNumberFormat="1" applyFont="1" applyFill="1" applyBorder="1" applyAlignment="1">
      <alignment horizontal="centerContinuous"/>
    </xf>
    <xf numFmtId="4" fontId="6" fillId="3" borderId="30" xfId="19" applyNumberFormat="1" applyFont="1" applyFill="1" applyBorder="1"/>
    <xf numFmtId="39" fontId="6" fillId="0" borderId="1" xfId="19" applyNumberFormat="1" applyFont="1" applyFill="1" applyBorder="1" applyAlignment="1">
      <alignment horizontal="centerContinuous"/>
    </xf>
    <xf numFmtId="4" fontId="6" fillId="3" borderId="33" xfId="19" applyNumberFormat="1" applyFont="1" applyFill="1" applyBorder="1"/>
    <xf numFmtId="4" fontId="6" fillId="3" borderId="36" xfId="19" applyNumberFormat="1" applyFont="1" applyFill="1" applyBorder="1"/>
    <xf numFmtId="0" fontId="6" fillId="0" borderId="36" xfId="19" applyFont="1" applyFill="1" applyBorder="1" applyAlignment="1">
      <alignment horizontal="centerContinuous"/>
    </xf>
    <xf numFmtId="4" fontId="24" fillId="3" borderId="36" xfId="19" applyNumberFormat="1" applyFont="1" applyFill="1" applyBorder="1" applyAlignment="1">
      <alignment horizontal="right"/>
    </xf>
    <xf numFmtId="4" fontId="24" fillId="3" borderId="39" xfId="19" applyNumberFormat="1" applyFont="1" applyFill="1" applyBorder="1" applyAlignment="1">
      <alignment horizontal="right"/>
    </xf>
    <xf numFmtId="39" fontId="6" fillId="3" borderId="0" xfId="19" applyNumberFormat="1" applyFont="1" applyFill="1" applyBorder="1"/>
    <xf numFmtId="0" fontId="6" fillId="0" borderId="0" xfId="19" applyFont="1" applyFill="1" applyBorder="1" applyAlignment="1">
      <alignment horizontal="centerContinuous"/>
    </xf>
    <xf numFmtId="4" fontId="24" fillId="3" borderId="0" xfId="19" applyNumberFormat="1" applyFont="1" applyFill="1" applyBorder="1" applyAlignment="1">
      <alignment horizontal="right"/>
    </xf>
    <xf numFmtId="0" fontId="6" fillId="3" borderId="0" xfId="19" applyFont="1" applyFill="1" applyBorder="1" applyAlignment="1">
      <alignment horizontal="centerContinuous"/>
    </xf>
    <xf numFmtId="0" fontId="24" fillId="3" borderId="0" xfId="19" applyFont="1" applyFill="1" applyBorder="1"/>
    <xf numFmtId="0" fontId="24" fillId="3" borderId="0" xfId="19" applyFont="1" applyFill="1"/>
    <xf numFmtId="0" fontId="6" fillId="3" borderId="0" xfId="19" applyFont="1" applyFill="1" applyAlignment="1">
      <alignment horizontal="centerContinuous"/>
    </xf>
    <xf numFmtId="4" fontId="6" fillId="2" borderId="29" xfId="19" applyNumberFormat="1" applyFont="1" applyFill="1" applyBorder="1"/>
    <xf numFmtId="39" fontId="6" fillId="0" borderId="5" xfId="19" applyNumberFormat="1" applyFont="1" applyFill="1" applyBorder="1" applyAlignment="1">
      <alignment horizontal="centerContinuous"/>
    </xf>
    <xf numFmtId="4" fontId="24" fillId="3" borderId="0" xfId="19" applyNumberFormat="1" applyFont="1" applyFill="1" applyAlignment="1">
      <alignment horizontal="right"/>
    </xf>
    <xf numFmtId="0" fontId="6" fillId="0" borderId="29" xfId="19" applyFont="1" applyFill="1" applyBorder="1" applyAlignment="1">
      <alignment horizontal="centerContinuous"/>
    </xf>
    <xf numFmtId="0" fontId="6" fillId="0" borderId="1" xfId="19" applyFont="1" applyFill="1" applyBorder="1" applyAlignment="1">
      <alignment horizontal="centerContinuous"/>
    </xf>
    <xf numFmtId="0" fontId="6" fillId="0" borderId="36" xfId="19" applyFont="1" applyFill="1" applyBorder="1"/>
    <xf numFmtId="0" fontId="6" fillId="0" borderId="0" xfId="19" applyFont="1" applyFill="1" applyBorder="1"/>
    <xf numFmtId="4" fontId="6" fillId="3" borderId="29" xfId="20" applyNumberFormat="1" applyFont="1" applyFill="1" applyBorder="1"/>
    <xf numFmtId="4" fontId="6" fillId="3" borderId="1" xfId="20" applyNumberFormat="1" applyFont="1" applyFill="1" applyBorder="1"/>
    <xf numFmtId="0" fontId="29" fillId="3" borderId="40" xfId="19" applyFont="1" applyFill="1" applyBorder="1"/>
    <xf numFmtId="4" fontId="6" fillId="3" borderId="41" xfId="19" applyNumberFormat="1" applyFont="1" applyFill="1" applyBorder="1"/>
    <xf numFmtId="39" fontId="6" fillId="3" borderId="41" xfId="19" applyNumberFormat="1" applyFont="1" applyFill="1" applyBorder="1" applyAlignment="1">
      <alignment horizontal="center"/>
    </xf>
    <xf numFmtId="4" fontId="6" fillId="3" borderId="29" xfId="19" applyNumberFormat="1" applyFont="1" applyFill="1" applyBorder="1" applyAlignment="1">
      <alignment horizontal="right"/>
    </xf>
    <xf numFmtId="4" fontId="29" fillId="3" borderId="38" xfId="19" applyNumberFormat="1" applyFont="1" applyFill="1" applyBorder="1"/>
    <xf numFmtId="0" fontId="29" fillId="3" borderId="35" xfId="19" applyFont="1" applyFill="1" applyBorder="1"/>
    <xf numFmtId="39" fontId="6" fillId="3" borderId="36" xfId="19" applyNumberFormat="1" applyFont="1" applyFill="1" applyBorder="1" applyAlignment="1">
      <alignment horizontal="center"/>
    </xf>
    <xf numFmtId="4" fontId="6" fillId="3" borderId="42" xfId="19" applyNumberFormat="1" applyFont="1" applyFill="1" applyBorder="1" applyAlignment="1">
      <alignment horizontal="right"/>
    </xf>
    <xf numFmtId="4" fontId="29" fillId="3" borderId="39" xfId="19" applyNumberFormat="1" applyFont="1" applyFill="1" applyBorder="1"/>
    <xf numFmtId="0" fontId="29" fillId="3" borderId="28" xfId="19" applyFont="1" applyFill="1" applyBorder="1"/>
    <xf numFmtId="39" fontId="6" fillId="3" borderId="29" xfId="19" applyNumberFormat="1" applyFont="1" applyFill="1" applyBorder="1" applyAlignment="1">
      <alignment horizontal="center"/>
    </xf>
    <xf numFmtId="4" fontId="29" fillId="3" borderId="31" xfId="19" applyNumberFormat="1" applyFont="1" applyFill="1" applyBorder="1"/>
    <xf numFmtId="0" fontId="29" fillId="3" borderId="34" xfId="19" applyFont="1" applyFill="1" applyBorder="1"/>
    <xf numFmtId="39" fontId="6" fillId="3" borderId="1" xfId="19" applyNumberFormat="1" applyFont="1" applyFill="1" applyBorder="1" applyAlignment="1">
      <alignment horizontal="center"/>
    </xf>
    <xf numFmtId="4" fontId="6" fillId="3" borderId="1" xfId="19" applyNumberFormat="1" applyFont="1" applyFill="1" applyBorder="1" applyAlignment="1">
      <alignment horizontal="right"/>
    </xf>
    <xf numFmtId="4" fontId="29" fillId="3" borderId="33" xfId="19" applyNumberFormat="1" applyFont="1" applyFill="1" applyBorder="1"/>
    <xf numFmtId="4" fontId="6" fillId="3" borderId="36" xfId="19" applyNumberFormat="1" applyFont="1" applyFill="1" applyBorder="1" applyAlignment="1">
      <alignment horizontal="right"/>
    </xf>
    <xf numFmtId="4" fontId="24" fillId="3" borderId="0" xfId="19" applyNumberFormat="1" applyFont="1" applyFill="1" applyAlignment="1">
      <alignment horizontal="left"/>
    </xf>
    <xf numFmtId="39" fontId="6" fillId="0" borderId="36" xfId="19" applyNumberFormat="1" applyFont="1" applyFill="1" applyBorder="1" applyAlignment="1">
      <alignment horizontal="centerContinuous"/>
    </xf>
    <xf numFmtId="0" fontId="24" fillId="3" borderId="28" xfId="19" applyFont="1" applyFill="1" applyBorder="1"/>
    <xf numFmtId="4" fontId="24" fillId="3" borderId="29" xfId="19" applyNumberFormat="1" applyFont="1" applyFill="1" applyBorder="1"/>
    <xf numFmtId="39" fontId="6" fillId="3" borderId="29" xfId="19" quotePrefix="1" applyNumberFormat="1" applyFont="1" applyFill="1" applyBorder="1" applyAlignment="1">
      <alignment horizontal="left"/>
    </xf>
    <xf numFmtId="4" fontId="24" fillId="3" borderId="29" xfId="19" quotePrefix="1" applyNumberFormat="1" applyFont="1" applyFill="1" applyBorder="1" applyAlignment="1">
      <alignment horizontal="right"/>
    </xf>
    <xf numFmtId="4" fontId="24" fillId="3" borderId="38" xfId="19" applyNumberFormat="1" applyFont="1" applyFill="1" applyBorder="1"/>
    <xf numFmtId="4" fontId="6" fillId="3" borderId="36" xfId="19" quotePrefix="1" applyNumberFormat="1" applyFont="1" applyFill="1" applyBorder="1" applyAlignment="1">
      <alignment horizontal="right"/>
    </xf>
    <xf numFmtId="0" fontId="29" fillId="3" borderId="0" xfId="19" applyFont="1" applyFill="1" applyBorder="1"/>
    <xf numFmtId="39" fontId="6" fillId="0" borderId="0" xfId="19" applyNumberFormat="1" applyFont="1" applyFill="1" applyBorder="1" applyAlignment="1">
      <alignment horizontal="centerContinuous"/>
    </xf>
    <xf numFmtId="0" fontId="3" fillId="3" borderId="0" xfId="0" quotePrefix="1" applyFont="1" applyFill="1" applyBorder="1" applyAlignment="1" applyProtection="1">
      <alignment horizontal="left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4" fillId="3" borderId="28" xfId="0" applyFont="1" applyFill="1" applyBorder="1" applyAlignment="1" applyProtection="1">
      <alignment horizontal="left" vertical="center"/>
    </xf>
    <xf numFmtId="180" fontId="4" fillId="3" borderId="29" xfId="0" applyNumberFormat="1" applyFont="1" applyFill="1" applyBorder="1" applyAlignment="1" applyProtection="1">
      <alignment horizontal="right" vertical="center"/>
      <protection locked="0"/>
    </xf>
    <xf numFmtId="0" fontId="4" fillId="3" borderId="29" xfId="0" applyFont="1" applyFill="1" applyBorder="1" applyAlignment="1" applyProtection="1">
      <alignment horizontal="center" vertical="center"/>
    </xf>
    <xf numFmtId="4" fontId="4" fillId="3" borderId="29" xfId="0" applyNumberFormat="1" applyFont="1" applyFill="1" applyBorder="1" applyAlignment="1" applyProtection="1">
      <alignment horizontal="right" vertical="center"/>
    </xf>
    <xf numFmtId="0" fontId="4" fillId="3" borderId="34" xfId="0" applyFont="1" applyFill="1" applyBorder="1" applyAlignment="1" applyProtection="1">
      <alignment horizontal="left" vertical="center"/>
    </xf>
    <xf numFmtId="181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2" fontId="4" fillId="3" borderId="1" xfId="0" applyNumberFormat="1" applyFont="1" applyFill="1" applyBorder="1" applyAlignment="1" applyProtection="1">
      <alignment horizontal="right" vertical="center"/>
    </xf>
    <xf numFmtId="0" fontId="4" fillId="3" borderId="35" xfId="0" applyFont="1" applyFill="1" applyBorder="1" applyAlignment="1">
      <alignment vertical="center"/>
    </xf>
    <xf numFmtId="0" fontId="4" fillId="3" borderId="36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center" vertical="center"/>
    </xf>
    <xf numFmtId="4" fontId="3" fillId="3" borderId="36" xfId="0" quotePrefix="1" applyNumberFormat="1" applyFont="1" applyFill="1" applyBorder="1" applyAlignment="1" applyProtection="1">
      <alignment horizontal="right" vertical="center"/>
    </xf>
    <xf numFmtId="4" fontId="3" fillId="3" borderId="39" xfId="0" applyNumberFormat="1" applyFont="1" applyFill="1" applyBorder="1" applyAlignment="1" applyProtection="1">
      <alignment horizontal="right" vertical="center"/>
      <protection locked="0"/>
    </xf>
    <xf numFmtId="0" fontId="3" fillId="3" borderId="0" xfId="0" quotePrefix="1" applyFont="1" applyFill="1" applyAlignment="1">
      <alignment horizontal="left"/>
    </xf>
    <xf numFmtId="0" fontId="4" fillId="3" borderId="28" xfId="0" quotePrefix="1" applyFont="1" applyFill="1" applyBorder="1" applyAlignment="1">
      <alignment horizontal="left" vertical="top" wrapText="1"/>
    </xf>
    <xf numFmtId="182" fontId="4" fillId="3" borderId="29" xfId="0" applyNumberFormat="1" applyFont="1" applyFill="1" applyBorder="1" applyAlignment="1"/>
    <xf numFmtId="0" fontId="4" fillId="3" borderId="29" xfId="0" applyFont="1" applyFill="1" applyBorder="1" applyAlignment="1">
      <alignment horizontal="center"/>
    </xf>
    <xf numFmtId="4" fontId="4" fillId="3" borderId="29" xfId="0" applyNumberFormat="1" applyFont="1" applyFill="1" applyBorder="1"/>
    <xf numFmtId="0" fontId="4" fillId="3" borderId="34" xfId="0" applyFont="1" applyFill="1" applyBorder="1" applyAlignment="1">
      <alignment vertical="top" wrapText="1"/>
    </xf>
    <xf numFmtId="2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5" xfId="0" applyFont="1" applyFill="1" applyBorder="1"/>
    <xf numFmtId="0" fontId="4" fillId="3" borderId="36" xfId="0" applyFont="1" applyFill="1" applyBorder="1"/>
    <xf numFmtId="0" fontId="4" fillId="3" borderId="36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right"/>
    </xf>
    <xf numFmtId="44" fontId="3" fillId="3" borderId="39" xfId="0" applyNumberFormat="1" applyFont="1" applyFill="1" applyBorder="1" applyAlignment="1">
      <alignment horizontal="centerContinuous"/>
    </xf>
    <xf numFmtId="0" fontId="3" fillId="3" borderId="0" xfId="0" applyFont="1" applyFill="1" applyBorder="1" applyAlignment="1" applyProtection="1">
      <alignment horizontal="left" vertical="center"/>
    </xf>
    <xf numFmtId="0" fontId="29" fillId="3" borderId="0" xfId="0" applyFont="1" applyFill="1" applyBorder="1" applyAlignment="1">
      <alignment horizontal="right" vertical="center"/>
    </xf>
    <xf numFmtId="39" fontId="29" fillId="3" borderId="0" xfId="0" applyNumberFormat="1" applyFont="1" applyFill="1" applyBorder="1" applyAlignment="1">
      <alignment vertical="center"/>
    </xf>
    <xf numFmtId="4" fontId="4" fillId="3" borderId="29" xfId="0" applyNumberFormat="1" applyFont="1" applyFill="1" applyBorder="1" applyAlignment="1" applyProtection="1">
      <alignment horizontal="right" vertical="center"/>
      <protection locked="0"/>
    </xf>
    <xf numFmtId="4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28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46" xfId="0" applyFont="1" applyFill="1" applyBorder="1" applyAlignment="1">
      <alignment horizontal="left"/>
    </xf>
    <xf numFmtId="0" fontId="24" fillId="2" borderId="0" xfId="19" applyFont="1" applyFill="1" applyBorder="1"/>
    <xf numFmtId="4" fontId="6" fillId="2" borderId="0" xfId="19" applyNumberFormat="1" applyFont="1" applyFill="1" applyBorder="1"/>
    <xf numFmtId="0" fontId="6" fillId="3" borderId="34" xfId="19" quotePrefix="1" applyFont="1" applyFill="1" applyBorder="1" applyAlignment="1">
      <alignment horizontal="left"/>
    </xf>
    <xf numFmtId="4" fontId="24" fillId="2" borderId="39" xfId="19" applyNumberFormat="1" applyFont="1" applyFill="1" applyBorder="1" applyAlignment="1">
      <alignment horizontal="right"/>
    </xf>
    <xf numFmtId="0" fontId="30" fillId="3" borderId="0" xfId="19" applyFont="1" applyFill="1" applyAlignment="1">
      <alignment horizontal="centerContinuous"/>
    </xf>
    <xf numFmtId="4" fontId="30" fillId="3" borderId="0" xfId="19" applyNumberFormat="1" applyFont="1" applyFill="1" applyAlignment="1">
      <alignment horizontal="centerContinuous"/>
    </xf>
    <xf numFmtId="0" fontId="6" fillId="3" borderId="29" xfId="19" applyFont="1" applyFill="1" applyBorder="1" applyAlignment="1">
      <alignment horizontal="centerContinuous"/>
    </xf>
    <xf numFmtId="0" fontId="6" fillId="3" borderId="1" xfId="19" applyFont="1" applyFill="1" applyBorder="1" applyAlignment="1">
      <alignment horizontal="centerContinuous"/>
    </xf>
    <xf numFmtId="0" fontId="6" fillId="3" borderId="1" xfId="19" quotePrefix="1" applyFont="1" applyFill="1" applyBorder="1" applyAlignment="1">
      <alignment horizontal="centerContinuous"/>
    </xf>
    <xf numFmtId="0" fontId="6" fillId="3" borderId="1" xfId="19" applyFont="1" applyFill="1" applyBorder="1"/>
    <xf numFmtId="0" fontId="6" fillId="3" borderId="36" xfId="19" applyFont="1" applyFill="1" applyBorder="1"/>
    <xf numFmtId="0" fontId="4" fillId="3" borderId="0" xfId="19" applyFont="1" applyFill="1"/>
    <xf numFmtId="0" fontId="3" fillId="3" borderId="0" xfId="19" applyFont="1" applyFill="1" applyAlignment="1">
      <alignment horizontal="right"/>
    </xf>
    <xf numFmtId="39" fontId="3" fillId="3" borderId="0" xfId="19" applyNumberFormat="1" applyFont="1" applyFill="1" applyAlignment="1">
      <alignment horizontal="right"/>
    </xf>
    <xf numFmtId="0" fontId="3" fillId="3" borderId="0" xfId="19" applyFont="1" applyFill="1"/>
    <xf numFmtId="0" fontId="4" fillId="3" borderId="28" xfId="19" applyFont="1" applyFill="1" applyBorder="1"/>
    <xf numFmtId="2" fontId="4" fillId="3" borderId="29" xfId="19" applyNumberFormat="1" applyFont="1" applyFill="1" applyBorder="1"/>
    <xf numFmtId="0" fontId="4" fillId="3" borderId="29" xfId="19" applyFont="1" applyFill="1" applyBorder="1" applyAlignment="1">
      <alignment horizontal="centerContinuous"/>
    </xf>
    <xf numFmtId="0" fontId="4" fillId="3" borderId="34" xfId="19" applyFont="1" applyFill="1" applyBorder="1"/>
    <xf numFmtId="2" fontId="4" fillId="3" borderId="1" xfId="19" applyNumberFormat="1" applyFont="1" applyFill="1" applyBorder="1"/>
    <xf numFmtId="0" fontId="4" fillId="3" borderId="1" xfId="19" applyFont="1" applyFill="1" applyBorder="1" applyAlignment="1">
      <alignment horizontal="centerContinuous"/>
    </xf>
    <xf numFmtId="0" fontId="4" fillId="3" borderId="34" xfId="19" quotePrefix="1" applyFont="1" applyFill="1" applyBorder="1" applyAlignment="1">
      <alignment horizontal="left"/>
    </xf>
    <xf numFmtId="0" fontId="4" fillId="3" borderId="1" xfId="19" applyFont="1" applyFill="1" applyBorder="1"/>
    <xf numFmtId="181" fontId="4" fillId="3" borderId="1" xfId="19" applyNumberFormat="1" applyFont="1" applyFill="1" applyBorder="1"/>
    <xf numFmtId="0" fontId="4" fillId="3" borderId="35" xfId="19" applyFont="1" applyFill="1" applyBorder="1"/>
    <xf numFmtId="0" fontId="4" fillId="3" borderId="36" xfId="19" applyFont="1" applyFill="1" applyBorder="1"/>
    <xf numFmtId="2" fontId="3" fillId="3" borderId="39" xfId="19" applyNumberFormat="1" applyFont="1" applyFill="1" applyBorder="1" applyAlignment="1">
      <alignment horizontal="right"/>
    </xf>
    <xf numFmtId="39" fontId="3" fillId="3" borderId="0" xfId="19" applyNumberFormat="1" applyFont="1" applyFill="1" applyAlignment="1"/>
    <xf numFmtId="0" fontId="3" fillId="3" borderId="0" xfId="19" applyFont="1" applyFill="1" applyBorder="1" applyAlignment="1">
      <alignment horizontal="right"/>
    </xf>
    <xf numFmtId="2" fontId="3" fillId="3" borderId="0" xfId="19" applyNumberFormat="1" applyFont="1" applyFill="1" applyBorder="1" applyAlignment="1"/>
    <xf numFmtId="0" fontId="3" fillId="3" borderId="36" xfId="19" applyFont="1" applyFill="1" applyBorder="1" applyAlignment="1">
      <alignment horizontal="right"/>
    </xf>
    <xf numFmtId="0" fontId="4" fillId="3" borderId="0" xfId="19" applyFont="1" applyFill="1" applyBorder="1"/>
    <xf numFmtId="181" fontId="4" fillId="3" borderId="0" xfId="19" applyNumberFormat="1" applyFont="1" applyFill="1" applyBorder="1"/>
    <xf numFmtId="39" fontId="3" fillId="3" borderId="0" xfId="19" applyNumberFormat="1" applyFont="1" applyFill="1" applyBorder="1" applyAlignment="1">
      <alignment horizontal="right"/>
    </xf>
    <xf numFmtId="169" fontId="3" fillId="3" borderId="0" xfId="25" applyFont="1" applyFill="1" applyBorder="1"/>
    <xf numFmtId="2" fontId="3" fillId="3" borderId="0" xfId="19" applyNumberFormat="1" applyFont="1" applyFill="1" applyBorder="1" applyAlignment="1">
      <alignment horizontal="right"/>
    </xf>
    <xf numFmtId="0" fontId="4" fillId="3" borderId="0" xfId="19" applyFont="1" applyFill="1" applyBorder="1" applyAlignment="1">
      <alignment horizontal="centerContinuous"/>
    </xf>
    <xf numFmtId="39" fontId="4" fillId="3" borderId="0" xfId="19" applyNumberFormat="1" applyFont="1" applyFill="1" applyBorder="1"/>
    <xf numFmtId="2" fontId="4" fillId="3" borderId="0" xfId="19" applyNumberFormat="1" applyFont="1" applyFill="1" applyBorder="1"/>
    <xf numFmtId="0" fontId="3" fillId="3" borderId="0" xfId="19" applyFont="1" applyFill="1" applyBorder="1"/>
    <xf numFmtId="0" fontId="4" fillId="3" borderId="25" xfId="19" applyFont="1" applyFill="1" applyBorder="1"/>
    <xf numFmtId="0" fontId="4" fillId="3" borderId="50" xfId="19" applyFont="1" applyFill="1" applyBorder="1" applyAlignment="1">
      <alignment horizontal="centerContinuous"/>
    </xf>
    <xf numFmtId="39" fontId="4" fillId="3" borderId="51" xfId="19" applyNumberFormat="1" applyFont="1" applyFill="1" applyBorder="1"/>
    <xf numFmtId="0" fontId="4" fillId="3" borderId="32" xfId="19" applyFont="1" applyFill="1" applyBorder="1"/>
    <xf numFmtId="0" fontId="4" fillId="3" borderId="5" xfId="19" applyFont="1" applyFill="1" applyBorder="1"/>
    <xf numFmtId="39" fontId="4" fillId="3" borderId="1" xfId="19" applyNumberFormat="1" applyFont="1" applyFill="1" applyBorder="1"/>
    <xf numFmtId="0" fontId="4" fillId="3" borderId="5" xfId="19" applyFont="1" applyFill="1" applyBorder="1" applyAlignment="1">
      <alignment horizontal="centerContinuous"/>
    </xf>
    <xf numFmtId="0" fontId="4" fillId="3" borderId="1" xfId="19" applyFont="1" applyFill="1" applyBorder="1" applyAlignment="1">
      <alignment horizontal="center"/>
    </xf>
    <xf numFmtId="0" fontId="3" fillId="3" borderId="52" xfId="19" applyFont="1" applyFill="1" applyBorder="1" applyAlignment="1"/>
    <xf numFmtId="0" fontId="4" fillId="3" borderId="53" xfId="19" applyFont="1" applyFill="1" applyBorder="1"/>
    <xf numFmtId="0" fontId="4" fillId="3" borderId="53" xfId="19" applyFont="1" applyFill="1" applyBorder="1" applyAlignment="1">
      <alignment horizontal="center"/>
    </xf>
    <xf numFmtId="0" fontId="4" fillId="3" borderId="54" xfId="19" applyFont="1" applyFill="1" applyBorder="1" applyAlignment="1">
      <alignment horizontal="right"/>
    </xf>
    <xf numFmtId="0" fontId="3" fillId="3" borderId="53" xfId="19" applyFont="1" applyFill="1" applyBorder="1" applyAlignment="1">
      <alignment horizontal="right"/>
    </xf>
    <xf numFmtId="2" fontId="3" fillId="3" borderId="54" xfId="19" applyNumberFormat="1" applyFont="1" applyFill="1" applyBorder="1" applyAlignment="1">
      <alignment horizontal="right"/>
    </xf>
    <xf numFmtId="0" fontId="3" fillId="11" borderId="0" xfId="19" applyFont="1" applyFill="1" applyBorder="1" applyAlignment="1"/>
    <xf numFmtId="0" fontId="19" fillId="11" borderId="0" xfId="19" applyFont="1" applyFill="1" applyBorder="1" applyAlignment="1"/>
    <xf numFmtId="0" fontId="33" fillId="3" borderId="0" xfId="19" applyFont="1" applyFill="1" applyBorder="1"/>
    <xf numFmtId="0" fontId="33" fillId="3" borderId="0" xfId="19" applyFont="1" applyFill="1"/>
    <xf numFmtId="4" fontId="33" fillId="3" borderId="0" xfId="19" applyNumberFormat="1" applyFont="1" applyFill="1"/>
    <xf numFmtId="0" fontId="10" fillId="3" borderId="28" xfId="19" applyFont="1" applyFill="1" applyBorder="1"/>
    <xf numFmtId="0" fontId="10" fillId="3" borderId="29" xfId="19" applyFont="1" applyFill="1" applyBorder="1"/>
    <xf numFmtId="0" fontId="10" fillId="3" borderId="29" xfId="19" applyFont="1" applyFill="1" applyBorder="1" applyAlignment="1">
      <alignment horizontal="centerContinuous"/>
    </xf>
    <xf numFmtId="4" fontId="10" fillId="3" borderId="29" xfId="19" applyNumberFormat="1" applyFont="1" applyFill="1" applyBorder="1"/>
    <xf numFmtId="0" fontId="10" fillId="3" borderId="34" xfId="19" applyFont="1" applyFill="1" applyBorder="1"/>
    <xf numFmtId="2" fontId="10" fillId="3" borderId="1" xfId="19" applyNumberFormat="1" applyFont="1" applyFill="1" applyBorder="1"/>
    <xf numFmtId="0" fontId="10" fillId="3" borderId="1" xfId="19" applyFont="1" applyFill="1" applyBorder="1" applyAlignment="1">
      <alignment horizontal="centerContinuous"/>
    </xf>
    <xf numFmtId="4" fontId="10" fillId="3" borderId="1" xfId="19" applyNumberFormat="1" applyFont="1" applyFill="1" applyBorder="1"/>
    <xf numFmtId="0" fontId="10" fillId="3" borderId="46" xfId="19" applyFont="1" applyFill="1" applyBorder="1"/>
    <xf numFmtId="2" fontId="10" fillId="3" borderId="3" xfId="19" applyNumberFormat="1" applyFont="1" applyFill="1" applyBorder="1"/>
    <xf numFmtId="0" fontId="10" fillId="3" borderId="3" xfId="19" applyFont="1" applyFill="1" applyBorder="1" applyAlignment="1">
      <alignment horizontal="centerContinuous"/>
    </xf>
    <xf numFmtId="4" fontId="10" fillId="3" borderId="3" xfId="19" applyNumberFormat="1" applyFont="1" applyFill="1" applyBorder="1"/>
    <xf numFmtId="0" fontId="10" fillId="3" borderId="35" xfId="19" applyFont="1" applyFill="1" applyBorder="1"/>
    <xf numFmtId="0" fontId="10" fillId="3" borderId="36" xfId="19" applyFont="1" applyFill="1" applyBorder="1"/>
    <xf numFmtId="0" fontId="34" fillId="3" borderId="36" xfId="19" applyFont="1" applyFill="1" applyBorder="1" applyAlignment="1">
      <alignment horizontal="right"/>
    </xf>
    <xf numFmtId="4" fontId="34" fillId="3" borderId="39" xfId="19" applyNumberFormat="1" applyFont="1" applyFill="1" applyBorder="1" applyAlignment="1">
      <alignment horizontal="right"/>
    </xf>
    <xf numFmtId="0" fontId="10" fillId="3" borderId="0" xfId="26" applyFont="1" applyFill="1" applyBorder="1"/>
    <xf numFmtId="4" fontId="10" fillId="3" borderId="0" xfId="26" applyNumberFormat="1" applyFont="1" applyFill="1" applyBorder="1"/>
    <xf numFmtId="0" fontId="4" fillId="3" borderId="28" xfId="0" applyFont="1" applyFill="1" applyBorder="1"/>
    <xf numFmtId="2" fontId="4" fillId="3" borderId="29" xfId="0" applyNumberFormat="1" applyFont="1" applyFill="1" applyBorder="1" applyAlignment="1"/>
    <xf numFmtId="4" fontId="4" fillId="3" borderId="29" xfId="0" applyNumberFormat="1" applyFont="1" applyFill="1" applyBorder="1" applyAlignment="1">
      <alignment horizontal="right"/>
    </xf>
    <xf numFmtId="0" fontId="10" fillId="3" borderId="34" xfId="26" quotePrefix="1" applyFont="1" applyFill="1" applyBorder="1" applyAlignment="1">
      <alignment horizontal="left"/>
    </xf>
    <xf numFmtId="2" fontId="10" fillId="3" borderId="1" xfId="27" applyNumberFormat="1" applyFont="1" applyFill="1" applyBorder="1" applyAlignment="1"/>
    <xf numFmtId="0" fontId="10" fillId="3" borderId="1" xfId="26" applyFont="1" applyFill="1" applyBorder="1" applyAlignment="1">
      <alignment horizontal="center"/>
    </xf>
    <xf numFmtId="4" fontId="10" fillId="3" borderId="1" xfId="26" applyNumberFormat="1" applyFont="1" applyFill="1" applyBorder="1" applyAlignment="1">
      <alignment horizontal="right"/>
    </xf>
    <xf numFmtId="0" fontId="10" fillId="3" borderId="34" xfId="26" applyFont="1" applyFill="1" applyBorder="1"/>
    <xf numFmtId="4" fontId="10" fillId="3" borderId="1" xfId="27" applyNumberFormat="1" applyFont="1" applyFill="1" applyBorder="1" applyAlignment="1"/>
    <xf numFmtId="0" fontId="10" fillId="3" borderId="1" xfId="27" applyFont="1" applyFill="1" applyBorder="1" applyAlignment="1"/>
    <xf numFmtId="2" fontId="10" fillId="3" borderId="1" xfId="26" applyNumberFormat="1" applyFont="1" applyFill="1" applyBorder="1" applyAlignment="1">
      <alignment horizontal="right"/>
    </xf>
    <xf numFmtId="0" fontId="10" fillId="3" borderId="34" xfId="26" applyFont="1" applyFill="1" applyBorder="1" applyAlignment="1">
      <alignment vertical="top" wrapText="1"/>
    </xf>
    <xf numFmtId="0" fontId="34" fillId="3" borderId="34" xfId="26" applyFont="1" applyFill="1" applyBorder="1" applyAlignment="1">
      <alignment horizontal="left"/>
    </xf>
    <xf numFmtId="0" fontId="34" fillId="3" borderId="1" xfId="26" applyFont="1" applyFill="1" applyBorder="1" applyAlignment="1">
      <alignment horizontal="left"/>
    </xf>
    <xf numFmtId="0" fontId="34" fillId="3" borderId="1" xfId="26" applyFont="1" applyFill="1" applyBorder="1" applyAlignment="1">
      <alignment horizontal="center"/>
    </xf>
    <xf numFmtId="4" fontId="35" fillId="3" borderId="33" xfId="26" applyNumberFormat="1" applyFont="1" applyFill="1" applyBorder="1" applyAlignment="1"/>
    <xf numFmtId="0" fontId="34" fillId="3" borderId="35" xfId="26" applyFont="1" applyFill="1" applyBorder="1" applyAlignment="1">
      <alignment horizontal="left"/>
    </xf>
    <xf numFmtId="0" fontId="34" fillId="3" borderId="36" xfId="26" applyFont="1" applyFill="1" applyBorder="1"/>
    <xf numFmtId="0" fontId="34" fillId="3" borderId="36" xfId="26" applyFont="1" applyFill="1" applyBorder="1" applyAlignment="1">
      <alignment horizontal="center"/>
    </xf>
    <xf numFmtId="4" fontId="3" fillId="3" borderId="36" xfId="28" applyNumberFormat="1" applyFont="1" applyFill="1" applyBorder="1" applyAlignment="1">
      <alignment horizontal="right"/>
    </xf>
    <xf numFmtId="4" fontId="29" fillId="3" borderId="39" xfId="26" applyNumberFormat="1" applyFont="1" applyFill="1" applyBorder="1" applyAlignment="1"/>
    <xf numFmtId="0" fontId="36" fillId="3" borderId="28" xfId="19" applyFont="1" applyFill="1" applyBorder="1"/>
    <xf numFmtId="4" fontId="36" fillId="3" borderId="29" xfId="19" applyNumberFormat="1" applyFont="1" applyFill="1" applyBorder="1"/>
    <xf numFmtId="0" fontId="36" fillId="3" borderId="29" xfId="19" applyFont="1" applyFill="1" applyBorder="1" applyAlignment="1">
      <alignment horizontal="center"/>
    </xf>
    <xf numFmtId="4" fontId="36" fillId="3" borderId="33" xfId="20" applyNumberFormat="1" applyFont="1" applyFill="1" applyBorder="1"/>
    <xf numFmtId="0" fontId="37" fillId="3" borderId="34" xfId="26" applyFont="1" applyFill="1" applyBorder="1" applyAlignment="1">
      <alignment horizontal="left"/>
    </xf>
    <xf numFmtId="4" fontId="38" fillId="3" borderId="1" xfId="19" applyNumberFormat="1" applyFont="1" applyFill="1" applyBorder="1"/>
    <xf numFmtId="0" fontId="38" fillId="3" borderId="1" xfId="19" applyFont="1" applyFill="1" applyBorder="1"/>
    <xf numFmtId="4" fontId="37" fillId="3" borderId="33" xfId="19" applyNumberFormat="1" applyFont="1" applyFill="1" applyBorder="1"/>
    <xf numFmtId="4" fontId="39" fillId="3" borderId="36" xfId="19" applyNumberFormat="1" applyFont="1" applyFill="1" applyBorder="1"/>
    <xf numFmtId="0" fontId="39" fillId="3" borderId="36" xfId="19" applyFont="1" applyFill="1" applyBorder="1"/>
    <xf numFmtId="4" fontId="34" fillId="3" borderId="39" xfId="26" applyNumberFormat="1" applyFont="1" applyFill="1" applyBorder="1" applyAlignment="1"/>
    <xf numFmtId="0" fontId="39" fillId="3" borderId="0" xfId="19" applyFont="1" applyFill="1"/>
    <xf numFmtId="4" fontId="39" fillId="3" borderId="0" xfId="19" applyNumberFormat="1" applyFont="1" applyFill="1"/>
    <xf numFmtId="0" fontId="34" fillId="3" borderId="0" xfId="19" applyFont="1" applyFill="1" applyBorder="1"/>
    <xf numFmtId="4" fontId="6" fillId="3" borderId="29" xfId="19" applyNumberFormat="1" applyFont="1" applyFill="1" applyBorder="1" applyAlignment="1">
      <alignment vertical="top"/>
    </xf>
    <xf numFmtId="4" fontId="6" fillId="3" borderId="1" xfId="19" applyNumberFormat="1" applyFont="1" applyFill="1" applyBorder="1" applyAlignment="1">
      <alignment vertical="top"/>
    </xf>
    <xf numFmtId="0" fontId="6" fillId="3" borderId="1" xfId="19" applyFont="1" applyFill="1" applyBorder="1" applyAlignment="1">
      <alignment horizontal="center" vertical="top"/>
    </xf>
    <xf numFmtId="0" fontId="6" fillId="3" borderId="0" xfId="19" applyFont="1" applyFill="1" applyAlignment="1">
      <alignment vertical="top"/>
    </xf>
    <xf numFmtId="4" fontId="6" fillId="3" borderId="0" xfId="19" applyNumberFormat="1" applyFont="1" applyFill="1" applyAlignment="1">
      <alignment vertical="top"/>
    </xf>
    <xf numFmtId="0" fontId="6" fillId="3" borderId="29" xfId="19" applyFont="1" applyFill="1" applyBorder="1" applyAlignment="1">
      <alignment horizontal="center"/>
    </xf>
    <xf numFmtId="0" fontId="6" fillId="3" borderId="1" xfId="19" applyFont="1" applyFill="1" applyBorder="1" applyAlignment="1">
      <alignment horizontal="center"/>
    </xf>
    <xf numFmtId="0" fontId="6" fillId="3" borderId="36" xfId="19" applyFont="1" applyFill="1" applyBorder="1" applyAlignment="1">
      <alignment horizontal="center"/>
    </xf>
    <xf numFmtId="0" fontId="24" fillId="3" borderId="0" xfId="19" applyFont="1" applyFill="1" applyAlignment="1">
      <alignment vertical="top"/>
    </xf>
    <xf numFmtId="4" fontId="29" fillId="3" borderId="0" xfId="19" applyNumberFormat="1" applyFont="1" applyFill="1" applyAlignment="1">
      <alignment vertical="top"/>
    </xf>
    <xf numFmtId="0" fontId="24" fillId="3" borderId="0" xfId="19" applyFont="1" applyFill="1" applyAlignment="1">
      <alignment horizontal="center" vertical="top"/>
    </xf>
    <xf numFmtId="0" fontId="6" fillId="3" borderId="28" xfId="19" applyFont="1" applyFill="1" applyBorder="1" applyAlignment="1">
      <alignment vertical="top"/>
    </xf>
    <xf numFmtId="0" fontId="6" fillId="3" borderId="29" xfId="19" applyFont="1" applyFill="1" applyBorder="1" applyAlignment="1">
      <alignment horizontal="center" vertical="top"/>
    </xf>
    <xf numFmtId="0" fontId="6" fillId="3" borderId="34" xfId="19" applyFont="1" applyFill="1" applyBorder="1" applyAlignment="1">
      <alignment vertical="top"/>
    </xf>
    <xf numFmtId="0" fontId="6" fillId="3" borderId="46" xfId="19" applyFont="1" applyFill="1" applyBorder="1" applyAlignment="1">
      <alignment vertical="top"/>
    </xf>
    <xf numFmtId="4" fontId="6" fillId="3" borderId="3" xfId="19" applyNumberFormat="1" applyFont="1" applyFill="1" applyBorder="1" applyAlignment="1">
      <alignment vertical="top"/>
    </xf>
    <xf numFmtId="0" fontId="6" fillId="3" borderId="3" xfId="19" applyFont="1" applyFill="1" applyBorder="1" applyAlignment="1">
      <alignment vertical="top"/>
    </xf>
    <xf numFmtId="4" fontId="3" fillId="3" borderId="3" xfId="28" applyNumberFormat="1" applyFont="1" applyFill="1" applyBorder="1" applyAlignment="1">
      <alignment horizontal="right"/>
    </xf>
    <xf numFmtId="4" fontId="24" fillId="3" borderId="47" xfId="19" applyNumberFormat="1" applyFont="1" applyFill="1" applyBorder="1" applyAlignment="1">
      <alignment vertical="top"/>
    </xf>
    <xf numFmtId="0" fontId="6" fillId="3" borderId="52" xfId="19" applyFont="1" applyFill="1" applyBorder="1" applyAlignment="1">
      <alignment vertical="top"/>
    </xf>
    <xf numFmtId="4" fontId="6" fillId="3" borderId="53" xfId="19" applyNumberFormat="1" applyFont="1" applyFill="1" applyBorder="1" applyAlignment="1">
      <alignment vertical="top"/>
    </xf>
    <xf numFmtId="0" fontId="6" fillId="3" borderId="53" xfId="19" applyFont="1" applyFill="1" applyBorder="1" applyAlignment="1">
      <alignment vertical="top"/>
    </xf>
    <xf numFmtId="4" fontId="3" fillId="3" borderId="53" xfId="28" applyNumberFormat="1" applyFont="1" applyFill="1" applyBorder="1" applyAlignment="1">
      <alignment horizontal="right"/>
    </xf>
    <xf numFmtId="4" fontId="29" fillId="3" borderId="54" xfId="19" applyNumberFormat="1" applyFont="1" applyFill="1" applyBorder="1" applyAlignment="1">
      <alignment vertical="top"/>
    </xf>
    <xf numFmtId="0" fontId="6" fillId="3" borderId="56" xfId="19" applyFont="1" applyFill="1" applyBorder="1" applyAlignment="1">
      <alignment vertical="top"/>
    </xf>
    <xf numFmtId="4" fontId="6" fillId="3" borderId="57" xfId="19" applyNumberFormat="1" applyFont="1" applyFill="1" applyBorder="1" applyAlignment="1">
      <alignment vertical="top"/>
    </xf>
    <xf numFmtId="0" fontId="6" fillId="3" borderId="57" xfId="19" applyFont="1" applyFill="1" applyBorder="1" applyAlignment="1">
      <alignment vertical="top"/>
    </xf>
    <xf numFmtId="4" fontId="3" fillId="3" borderId="57" xfId="28" applyNumberFormat="1" applyFont="1" applyFill="1" applyBorder="1" applyAlignment="1">
      <alignment horizontal="right"/>
    </xf>
    <xf numFmtId="4" fontId="40" fillId="3" borderId="37" xfId="19" applyNumberFormat="1" applyFont="1" applyFill="1" applyBorder="1" applyAlignment="1">
      <alignment vertical="top"/>
    </xf>
    <xf numFmtId="0" fontId="10" fillId="3" borderId="0" xfId="19" applyFont="1" applyFill="1" applyBorder="1"/>
    <xf numFmtId="4" fontId="3" fillId="3" borderId="0" xfId="28" applyNumberFormat="1" applyFont="1" applyFill="1" applyBorder="1" applyAlignment="1">
      <alignment horizontal="right"/>
    </xf>
    <xf numFmtId="4" fontId="34" fillId="3" borderId="0" xfId="19" applyNumberFormat="1" applyFont="1" applyFill="1" applyBorder="1" applyAlignment="1">
      <alignment horizontal="right"/>
    </xf>
    <xf numFmtId="2" fontId="10" fillId="10" borderId="3" xfId="19" applyNumberFormat="1" applyFont="1" applyFill="1" applyBorder="1"/>
    <xf numFmtId="4" fontId="29" fillId="3" borderId="0" xfId="19" applyNumberFormat="1" applyFont="1" applyFill="1"/>
    <xf numFmtId="0" fontId="6" fillId="3" borderId="0" xfId="19" applyFont="1" applyFill="1" applyAlignment="1">
      <alignment horizontal="center"/>
    </xf>
    <xf numFmtId="4" fontId="40" fillId="3" borderId="0" xfId="19" applyNumberFormat="1" applyFont="1" applyFill="1"/>
    <xf numFmtId="0" fontId="6" fillId="3" borderId="52" xfId="19" applyFont="1" applyFill="1" applyBorder="1"/>
    <xf numFmtId="4" fontId="6" fillId="3" borderId="53" xfId="19" applyNumberFormat="1" applyFont="1" applyFill="1" applyBorder="1"/>
    <xf numFmtId="0" fontId="6" fillId="3" borderId="53" xfId="19" applyFont="1" applyFill="1" applyBorder="1"/>
    <xf numFmtId="4" fontId="29" fillId="3" borderId="53" xfId="28" applyNumberFormat="1" applyFont="1" applyFill="1" applyBorder="1" applyAlignment="1">
      <alignment horizontal="right"/>
    </xf>
    <xf numFmtId="4" fontId="29" fillId="3" borderId="54" xfId="19" applyNumberFormat="1" applyFont="1" applyFill="1" applyBorder="1"/>
    <xf numFmtId="4" fontId="40" fillId="3" borderId="53" xfId="28" applyNumberFormat="1" applyFont="1" applyFill="1" applyBorder="1" applyAlignment="1">
      <alignment horizontal="right"/>
    </xf>
    <xf numFmtId="4" fontId="40" fillId="3" borderId="54" xfId="19" applyNumberFormat="1" applyFont="1" applyFill="1" applyBorder="1"/>
    <xf numFmtId="4" fontId="4" fillId="3" borderId="36" xfId="28" applyNumberFormat="1" applyFont="1" applyFill="1" applyBorder="1" applyAlignment="1">
      <alignment horizontal="right"/>
    </xf>
    <xf numFmtId="0" fontId="6" fillId="3" borderId="29" xfId="19" applyFont="1" applyFill="1" applyBorder="1"/>
    <xf numFmtId="4" fontId="3" fillId="3" borderId="29" xfId="28" applyNumberFormat="1" applyFont="1" applyFill="1" applyBorder="1" applyAlignment="1">
      <alignment horizontal="right"/>
    </xf>
    <xf numFmtId="4" fontId="29" fillId="3" borderId="36" xfId="28" applyNumberFormat="1" applyFont="1" applyFill="1" applyBorder="1" applyAlignment="1">
      <alignment horizontal="right"/>
    </xf>
    <xf numFmtId="0" fontId="3" fillId="3" borderId="40" xfId="28" applyFont="1" applyFill="1" applyBorder="1" applyAlignment="1">
      <alignment horizontal="left"/>
    </xf>
    <xf numFmtId="0" fontId="3" fillId="3" borderId="41" xfId="28" applyFont="1" applyFill="1" applyBorder="1" applyAlignment="1">
      <alignment horizontal="left" vertical="top" wrapText="1"/>
    </xf>
    <xf numFmtId="0" fontId="3" fillId="3" borderId="41" xfId="28" applyFont="1" applyFill="1" applyBorder="1" applyAlignment="1">
      <alignment horizontal="center" vertical="top" wrapText="1"/>
    </xf>
    <xf numFmtId="0" fontId="3" fillId="3" borderId="31" xfId="28" applyFont="1" applyFill="1" applyBorder="1" applyAlignment="1">
      <alignment horizontal="left" vertical="top" wrapText="1"/>
    </xf>
    <xf numFmtId="0" fontId="4" fillId="3" borderId="34" xfId="28" applyFont="1" applyFill="1" applyBorder="1"/>
    <xf numFmtId="2" fontId="4" fillId="3" borderId="1" xfId="28" applyNumberFormat="1" applyFont="1" applyFill="1" applyBorder="1"/>
    <xf numFmtId="0" fontId="4" fillId="3" borderId="1" xfId="28" applyFont="1" applyFill="1" applyBorder="1" applyAlignment="1">
      <alignment horizontal="center"/>
    </xf>
    <xf numFmtId="4" fontId="4" fillId="3" borderId="1" xfId="28" applyNumberFormat="1" applyFont="1" applyFill="1" applyBorder="1"/>
    <xf numFmtId="178" fontId="4" fillId="3" borderId="1" xfId="28" applyNumberFormat="1" applyFont="1" applyFill="1" applyBorder="1"/>
    <xf numFmtId="4" fontId="3" fillId="3" borderId="33" xfId="28" applyNumberFormat="1" applyFont="1" applyFill="1" applyBorder="1"/>
    <xf numFmtId="0" fontId="4" fillId="3" borderId="35" xfId="28" applyFont="1" applyFill="1" applyBorder="1"/>
    <xf numFmtId="0" fontId="4" fillId="3" borderId="36" xfId="28" applyFont="1" applyFill="1" applyBorder="1"/>
    <xf numFmtId="164" fontId="4" fillId="3" borderId="36" xfId="28" applyNumberFormat="1" applyFont="1" applyFill="1" applyBorder="1" applyAlignment="1">
      <alignment horizontal="center"/>
    </xf>
    <xf numFmtId="4" fontId="3" fillId="3" borderId="39" xfId="28" applyNumberFormat="1" applyFont="1" applyFill="1" applyBorder="1" applyAlignment="1">
      <alignment horizontal="right"/>
    </xf>
    <xf numFmtId="4" fontId="3" fillId="3" borderId="1" xfId="28" applyNumberFormat="1" applyFont="1" applyFill="1" applyBorder="1" applyAlignment="1">
      <alignment horizontal="right"/>
    </xf>
    <xf numFmtId="4" fontId="24" fillId="3" borderId="33" xfId="19" applyNumberFormat="1" applyFont="1" applyFill="1" applyBorder="1"/>
    <xf numFmtId="0" fontId="4" fillId="0" borderId="28" xfId="0" applyFont="1" applyFill="1" applyBorder="1"/>
    <xf numFmtId="2" fontId="4" fillId="0" borderId="29" xfId="19" applyNumberFormat="1" applyFont="1" applyFill="1" applyBorder="1"/>
    <xf numFmtId="39" fontId="4" fillId="0" borderId="29" xfId="19" applyNumberFormat="1" applyFont="1" applyFill="1" applyBorder="1" applyAlignment="1">
      <alignment horizontal="center"/>
    </xf>
    <xf numFmtId="169" fontId="4" fillId="0" borderId="29" xfId="25" applyFont="1" applyFill="1" applyBorder="1"/>
    <xf numFmtId="0" fontId="4" fillId="0" borderId="34" xfId="0" applyFont="1" applyFill="1" applyBorder="1"/>
    <xf numFmtId="2" fontId="4" fillId="0" borderId="1" xfId="19" applyNumberFormat="1" applyFont="1" applyFill="1" applyBorder="1"/>
    <xf numFmtId="39" fontId="4" fillId="0" borderId="1" xfId="19" applyNumberFormat="1" applyFont="1" applyFill="1" applyBorder="1" applyAlignment="1">
      <alignment horizontal="center"/>
    </xf>
    <xf numFmtId="169" fontId="4" fillId="0" borderId="1" xfId="25" applyFont="1" applyFill="1" applyBorder="1"/>
    <xf numFmtId="0" fontId="4" fillId="0" borderId="35" xfId="0" applyFont="1" applyFill="1" applyBorder="1"/>
    <xf numFmtId="2" fontId="4" fillId="0" borderId="36" xfId="19" applyNumberFormat="1" applyFont="1" applyFill="1" applyBorder="1"/>
    <xf numFmtId="39" fontId="4" fillId="0" borderId="36" xfId="19" applyNumberFormat="1" applyFont="1" applyFill="1" applyBorder="1" applyAlignment="1">
      <alignment horizontal="center"/>
    </xf>
    <xf numFmtId="169" fontId="4" fillId="0" borderId="36" xfId="25" applyFont="1" applyFill="1" applyBorder="1"/>
    <xf numFmtId="4" fontId="6" fillId="3" borderId="39" xfId="20" applyNumberFormat="1" applyFont="1" applyFill="1" applyBorder="1"/>
    <xf numFmtId="0" fontId="15" fillId="3" borderId="21" xfId="0" applyFont="1" applyFill="1" applyBorder="1"/>
    <xf numFmtId="2" fontId="42" fillId="3" borderId="22" xfId="19" applyNumberFormat="1" applyFont="1" applyFill="1" applyBorder="1" applyAlignment="1">
      <alignment horizontal="right"/>
    </xf>
    <xf numFmtId="39" fontId="42" fillId="3" borderId="22" xfId="19" applyNumberFormat="1" applyFont="1" applyFill="1" applyBorder="1" applyAlignment="1">
      <alignment horizontal="right"/>
    </xf>
    <xf numFmtId="39" fontId="3" fillId="0" borderId="29" xfId="19" applyNumberFormat="1" applyFont="1" applyFill="1" applyBorder="1" applyAlignment="1">
      <alignment horizontal="right"/>
    </xf>
    <xf numFmtId="169" fontId="3" fillId="0" borderId="23" xfId="31" applyFont="1" applyFill="1" applyBorder="1"/>
    <xf numFmtId="0" fontId="6" fillId="3" borderId="57" xfId="19" applyFont="1" applyFill="1" applyBorder="1" applyAlignment="1">
      <alignment horizontal="center"/>
    </xf>
    <xf numFmtId="0" fontId="4" fillId="0" borderId="58" xfId="0" applyFont="1" applyFill="1" applyBorder="1"/>
    <xf numFmtId="0" fontId="4" fillId="0" borderId="59" xfId="0" applyFont="1" applyFill="1" applyBorder="1"/>
    <xf numFmtId="0" fontId="24" fillId="2" borderId="0" xfId="19" applyFont="1" applyFill="1"/>
    <xf numFmtId="4" fontId="6" fillId="3" borderId="0" xfId="19" applyNumberFormat="1" applyFont="1" applyFill="1" applyAlignment="1">
      <alignment horizontal="right"/>
    </xf>
    <xf numFmtId="3" fontId="6" fillId="3" borderId="0" xfId="19" applyNumberFormat="1" applyFont="1" applyFill="1" applyAlignment="1">
      <alignment horizontal="left"/>
    </xf>
    <xf numFmtId="4" fontId="43" fillId="3" borderId="0" xfId="19" applyNumberFormat="1" applyFont="1" applyFill="1"/>
    <xf numFmtId="0" fontId="39" fillId="3" borderId="0" xfId="19" applyFont="1" applyFill="1" applyAlignment="1">
      <alignment horizontal="center"/>
    </xf>
    <xf numFmtId="4" fontId="29" fillId="3" borderId="29" xfId="28" applyNumberFormat="1" applyFont="1" applyFill="1" applyBorder="1" applyAlignment="1">
      <alignment horizontal="right"/>
    </xf>
    <xf numFmtId="0" fontId="3" fillId="0" borderId="28" xfId="26" applyFont="1" applyFill="1" applyBorder="1" applyAlignment="1">
      <alignment horizontal="left"/>
    </xf>
    <xf numFmtId="2" fontId="4" fillId="0" borderId="29" xfId="27" applyNumberFormat="1" applyFont="1" applyFill="1" applyBorder="1" applyAlignment="1">
      <alignment horizontal="center"/>
    </xf>
    <xf numFmtId="0" fontId="4" fillId="0" borderId="29" xfId="26" applyFont="1" applyFill="1" applyBorder="1" applyAlignment="1">
      <alignment horizontal="center"/>
    </xf>
    <xf numFmtId="2" fontId="4" fillId="0" borderId="29" xfId="26" applyNumberFormat="1" applyFont="1" applyFill="1" applyBorder="1" applyAlignment="1">
      <alignment horizontal="right"/>
    </xf>
    <xf numFmtId="2" fontId="4" fillId="0" borderId="38" xfId="26" applyNumberFormat="1" applyFont="1" applyFill="1" applyBorder="1"/>
    <xf numFmtId="0" fontId="4" fillId="0" borderId="34" xfId="26" applyFont="1" applyFill="1" applyBorder="1" applyAlignment="1">
      <alignment horizontal="left"/>
    </xf>
    <xf numFmtId="2" fontId="4" fillId="0" borderId="1" xfId="27" applyNumberFormat="1" applyFont="1" applyFill="1" applyBorder="1" applyAlignment="1"/>
    <xf numFmtId="0" fontId="4" fillId="0" borderId="1" xfId="26" applyFont="1" applyFill="1" applyBorder="1" applyAlignment="1">
      <alignment horizontal="center"/>
    </xf>
    <xf numFmtId="2" fontId="4" fillId="3" borderId="1" xfId="26" applyNumberFormat="1" applyFont="1" applyFill="1" applyBorder="1" applyAlignment="1">
      <alignment horizontal="right"/>
    </xf>
    <xf numFmtId="4" fontId="4" fillId="0" borderId="33" xfId="26" applyNumberFormat="1" applyFont="1" applyFill="1" applyBorder="1"/>
    <xf numFmtId="0" fontId="3" fillId="0" borderId="34" xfId="26" applyFont="1" applyFill="1" applyBorder="1" applyAlignment="1">
      <alignment horizontal="left"/>
    </xf>
    <xf numFmtId="0" fontId="4" fillId="0" borderId="34" xfId="26" quotePrefix="1" applyFont="1" applyFill="1" applyBorder="1" applyAlignment="1">
      <alignment horizontal="left"/>
    </xf>
    <xf numFmtId="0" fontId="4" fillId="0" borderId="34" xfId="26" applyFont="1" applyFill="1" applyBorder="1"/>
    <xf numFmtId="0" fontId="4" fillId="0" borderId="1" xfId="27" applyFont="1" applyFill="1" applyBorder="1" applyAlignment="1"/>
    <xf numFmtId="39" fontId="4" fillId="3" borderId="1" xfId="26" applyNumberFormat="1" applyFont="1" applyFill="1" applyBorder="1" applyAlignment="1">
      <alignment horizontal="right" vertical="distributed" wrapText="1"/>
    </xf>
    <xf numFmtId="4" fontId="4" fillId="0" borderId="1" xfId="27" applyNumberFormat="1" applyFont="1" applyFill="1" applyBorder="1" applyAlignment="1"/>
    <xf numFmtId="39" fontId="4" fillId="3" borderId="1" xfId="26" applyNumberFormat="1" applyFont="1" applyFill="1" applyBorder="1" applyAlignment="1">
      <alignment horizontal="right"/>
    </xf>
    <xf numFmtId="4" fontId="4" fillId="3" borderId="1" xfId="26" applyNumberFormat="1" applyFont="1" applyFill="1" applyBorder="1" applyAlignment="1">
      <alignment horizontal="right"/>
    </xf>
    <xf numFmtId="2" fontId="4" fillId="0" borderId="1" xfId="27" applyNumberFormat="1" applyFont="1" applyFill="1" applyBorder="1" applyAlignment="1">
      <alignment horizontal="center"/>
    </xf>
    <xf numFmtId="2" fontId="4" fillId="0" borderId="1" xfId="26" applyNumberFormat="1" applyFont="1" applyFill="1" applyBorder="1" applyAlignment="1">
      <alignment horizontal="right"/>
    </xf>
    <xf numFmtId="2" fontId="4" fillId="0" borderId="33" xfId="26" applyNumberFormat="1" applyFont="1" applyFill="1" applyBorder="1"/>
    <xf numFmtId="0" fontId="3" fillId="0" borderId="35" xfId="26" applyFont="1" applyFill="1" applyBorder="1" applyAlignment="1">
      <alignment horizontal="left"/>
    </xf>
    <xf numFmtId="0" fontId="3" fillId="0" borderId="36" xfId="26" applyFont="1" applyFill="1" applyBorder="1" applyAlignment="1">
      <alignment horizontal="left"/>
    </xf>
    <xf numFmtId="0" fontId="3" fillId="0" borderId="36" xfId="21" applyFont="1" applyFill="1" applyBorder="1" applyAlignment="1">
      <alignment horizontal="right"/>
    </xf>
    <xf numFmtId="39" fontId="29" fillId="0" borderId="39" xfId="26" applyNumberFormat="1" applyFont="1" applyFill="1" applyBorder="1" applyAlignment="1"/>
    <xf numFmtId="0" fontId="39" fillId="3" borderId="0" xfId="21" applyFont="1" applyFill="1"/>
    <xf numFmtId="4" fontId="39" fillId="3" borderId="0" xfId="21" applyNumberFormat="1" applyFont="1" applyFill="1"/>
    <xf numFmtId="0" fontId="34" fillId="12" borderId="0" xfId="21" applyFont="1" applyFill="1" applyBorder="1"/>
    <xf numFmtId="0" fontId="34" fillId="3" borderId="0" xfId="21" applyFont="1" applyFill="1"/>
    <xf numFmtId="0" fontId="33" fillId="3" borderId="0" xfId="21" applyFont="1" applyFill="1"/>
    <xf numFmtId="4" fontId="33" fillId="3" borderId="0" xfId="21" applyNumberFormat="1" applyFont="1" applyFill="1"/>
    <xf numFmtId="0" fontId="10" fillId="3" borderId="28" xfId="21" applyFont="1" applyFill="1" applyBorder="1"/>
    <xf numFmtId="0" fontId="10" fillId="3" borderId="29" xfId="21" applyFont="1" applyFill="1" applyBorder="1"/>
    <xf numFmtId="0" fontId="10" fillId="3" borderId="29" xfId="21" applyFont="1" applyFill="1" applyBorder="1" applyAlignment="1">
      <alignment horizontal="centerContinuous"/>
    </xf>
    <xf numFmtId="4" fontId="10" fillId="3" borderId="29" xfId="21" applyNumberFormat="1" applyFont="1" applyFill="1" applyBorder="1"/>
    <xf numFmtId="0" fontId="10" fillId="3" borderId="34" xfId="21" applyFont="1" applyFill="1" applyBorder="1"/>
    <xf numFmtId="2" fontId="10" fillId="3" borderId="1" xfId="21" applyNumberFormat="1" applyFont="1" applyFill="1" applyBorder="1"/>
    <xf numFmtId="0" fontId="10" fillId="3" borderId="1" xfId="21" applyFont="1" applyFill="1" applyBorder="1" applyAlignment="1">
      <alignment horizontal="centerContinuous"/>
    </xf>
    <xf numFmtId="4" fontId="10" fillId="3" borderId="1" xfId="21" applyNumberFormat="1" applyFont="1" applyFill="1" applyBorder="1"/>
    <xf numFmtId="0" fontId="10" fillId="3" borderId="35" xfId="21" applyFont="1" applyFill="1" applyBorder="1"/>
    <xf numFmtId="0" fontId="10" fillId="3" borderId="36" xfId="21" applyFont="1" applyFill="1" applyBorder="1"/>
    <xf numFmtId="4" fontId="34" fillId="3" borderId="39" xfId="21" applyNumberFormat="1" applyFont="1" applyFill="1" applyBorder="1" applyAlignment="1">
      <alignment horizontal="right"/>
    </xf>
    <xf numFmtId="0" fontId="10" fillId="3" borderId="0" xfId="21" applyFont="1" applyFill="1" applyBorder="1"/>
    <xf numFmtId="4" fontId="34" fillId="3" borderId="0" xfId="21" applyNumberFormat="1" applyFont="1" applyFill="1" applyBorder="1" applyAlignment="1">
      <alignment horizontal="right"/>
    </xf>
    <xf numFmtId="4" fontId="10" fillId="3" borderId="0" xfId="21" applyNumberFormat="1" applyFont="1" applyFill="1"/>
    <xf numFmtId="0" fontId="10" fillId="3" borderId="46" xfId="21" applyFont="1" applyFill="1" applyBorder="1"/>
    <xf numFmtId="2" fontId="10" fillId="3" borderId="3" xfId="21" applyNumberFormat="1" applyFont="1" applyFill="1" applyBorder="1"/>
    <xf numFmtId="0" fontId="10" fillId="3" borderId="3" xfId="21" applyFont="1" applyFill="1" applyBorder="1" applyAlignment="1">
      <alignment horizontal="centerContinuous"/>
    </xf>
    <xf numFmtId="4" fontId="10" fillId="3" borderId="3" xfId="21" applyNumberFormat="1" applyFont="1" applyFill="1" applyBorder="1"/>
    <xf numFmtId="0" fontId="24" fillId="12" borderId="0" xfId="19" applyFont="1" applyFill="1" applyAlignment="1">
      <alignment vertical="top"/>
    </xf>
    <xf numFmtId="0" fontId="3" fillId="3" borderId="0" xfId="19" applyFont="1" applyFill="1" applyBorder="1" applyAlignment="1"/>
    <xf numFmtId="4" fontId="3" fillId="3" borderId="0" xfId="0" applyNumberFormat="1" applyFont="1" applyFill="1" applyBorder="1"/>
    <xf numFmtId="0" fontId="4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4" fontId="9" fillId="3" borderId="0" xfId="0" applyNumberFormat="1" applyFont="1" applyFill="1" applyBorder="1" applyAlignment="1">
      <alignment horizontal="right"/>
    </xf>
    <xf numFmtId="0" fontId="4" fillId="0" borderId="28" xfId="19" applyFont="1" applyFill="1" applyBorder="1"/>
    <xf numFmtId="0" fontId="4" fillId="0" borderId="29" xfId="19" applyFont="1" applyFill="1" applyBorder="1"/>
    <xf numFmtId="0" fontId="4" fillId="0" borderId="29" xfId="19" applyFont="1" applyFill="1" applyBorder="1" applyAlignment="1">
      <alignment horizontal="center"/>
    </xf>
    <xf numFmtId="39" fontId="4" fillId="0" borderId="29" xfId="19" applyNumberFormat="1" applyFont="1" applyFill="1" applyBorder="1"/>
    <xf numFmtId="0" fontId="4" fillId="0" borderId="34" xfId="19" applyFont="1" applyFill="1" applyBorder="1"/>
    <xf numFmtId="0" fontId="4" fillId="0" borderId="1" xfId="19" applyFont="1" applyFill="1" applyBorder="1"/>
    <xf numFmtId="0" fontId="4" fillId="0" borderId="1" xfId="19" applyFont="1" applyFill="1" applyBorder="1" applyAlignment="1">
      <alignment horizontal="center"/>
    </xf>
    <xf numFmtId="39" fontId="4" fillId="0" borderId="1" xfId="19" applyNumberFormat="1" applyFont="1" applyFill="1" applyBorder="1"/>
    <xf numFmtId="0" fontId="3" fillId="0" borderId="1" xfId="19" applyFont="1" applyFill="1" applyBorder="1" applyAlignment="1">
      <alignment horizontal="center"/>
    </xf>
    <xf numFmtId="0" fontId="3" fillId="0" borderId="1" xfId="19" applyFont="1" applyFill="1" applyBorder="1" applyAlignment="1">
      <alignment horizontal="right"/>
    </xf>
    <xf numFmtId="4" fontId="3" fillId="0" borderId="33" xfId="19" applyNumberFormat="1" applyFont="1" applyFill="1" applyBorder="1"/>
    <xf numFmtId="4" fontId="4" fillId="0" borderId="1" xfId="19" applyNumberFormat="1" applyFont="1" applyFill="1" applyBorder="1"/>
    <xf numFmtId="0" fontId="4" fillId="0" borderId="35" xfId="19" applyFont="1" applyFill="1" applyBorder="1"/>
    <xf numFmtId="0" fontId="4" fillId="0" borderId="36" xfId="19" applyFont="1" applyFill="1" applyBorder="1"/>
    <xf numFmtId="0" fontId="4" fillId="0" borderId="36" xfId="19" applyFont="1" applyFill="1" applyBorder="1" applyAlignment="1">
      <alignment horizontal="center"/>
    </xf>
    <xf numFmtId="0" fontId="3" fillId="0" borderId="36" xfId="19" applyFont="1" applyFill="1" applyBorder="1" applyAlignment="1">
      <alignment horizontal="right"/>
    </xf>
    <xf numFmtId="4" fontId="3" fillId="0" borderId="39" xfId="19" applyNumberFormat="1" applyFont="1" applyFill="1" applyBorder="1"/>
    <xf numFmtId="0" fontId="3" fillId="12" borderId="0" xfId="0" applyFont="1" applyFill="1"/>
    <xf numFmtId="4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28" xfId="0" applyFill="1" applyBorder="1"/>
    <xf numFmtId="4" fontId="0" fillId="3" borderId="29" xfId="0" applyNumberFormat="1" applyFill="1" applyBorder="1"/>
    <xf numFmtId="4" fontId="0" fillId="3" borderId="29" xfId="0" applyNumberFormat="1" applyFill="1" applyBorder="1" applyAlignment="1">
      <alignment horizontal="center"/>
    </xf>
    <xf numFmtId="0" fontId="0" fillId="3" borderId="34" xfId="0" applyFill="1" applyBorder="1"/>
    <xf numFmtId="4" fontId="0" fillId="3" borderId="1" xfId="0" applyNumberFormat="1" applyFill="1" applyBorder="1"/>
    <xf numFmtId="4" fontId="0" fillId="3" borderId="1" xfId="0" applyNumberFormat="1" applyFill="1" applyBorder="1" applyAlignment="1">
      <alignment horizontal="center"/>
    </xf>
    <xf numFmtId="4" fontId="3" fillId="3" borderId="33" xfId="0" applyNumberFormat="1" applyFont="1" applyFill="1" applyBorder="1"/>
    <xf numFmtId="0" fontId="0" fillId="3" borderId="35" xfId="0" applyFill="1" applyBorder="1"/>
    <xf numFmtId="4" fontId="0" fillId="3" borderId="36" xfId="0" applyNumberFormat="1" applyFill="1" applyBorder="1"/>
    <xf numFmtId="4" fontId="3" fillId="3" borderId="39" xfId="0" applyNumberFormat="1" applyFont="1" applyFill="1" applyBorder="1"/>
    <xf numFmtId="0" fontId="0" fillId="3" borderId="0" xfId="0" applyFill="1" applyBorder="1"/>
    <xf numFmtId="4" fontId="0" fillId="3" borderId="0" xfId="0" applyNumberFormat="1" applyFill="1" applyBorder="1"/>
    <xf numFmtId="4" fontId="3" fillId="3" borderId="0" xfId="0" applyNumberFormat="1" applyFont="1" applyFill="1" applyBorder="1" applyAlignment="1">
      <alignment horizontal="right"/>
    </xf>
    <xf numFmtId="4" fontId="39" fillId="12" borderId="0" xfId="19" applyNumberFormat="1" applyFont="1" applyFill="1"/>
    <xf numFmtId="0" fontId="39" fillId="12" borderId="0" xfId="19" applyFont="1" applyFill="1"/>
    <xf numFmtId="0" fontId="4" fillId="12" borderId="28" xfId="0" applyFont="1" applyFill="1" applyBorder="1"/>
    <xf numFmtId="4" fontId="6" fillId="12" borderId="29" xfId="19" applyNumberFormat="1" applyFont="1" applyFill="1" applyBorder="1"/>
    <xf numFmtId="4" fontId="0" fillId="12" borderId="29" xfId="0" applyNumberFormat="1" applyFill="1" applyBorder="1" applyAlignment="1">
      <alignment horizontal="center"/>
    </xf>
    <xf numFmtId="4" fontId="6" fillId="12" borderId="38" xfId="20" applyNumberFormat="1" applyFont="1" applyFill="1" applyBorder="1"/>
    <xf numFmtId="0" fontId="4" fillId="12" borderId="34" xfId="0" applyFont="1" applyFill="1" applyBorder="1"/>
    <xf numFmtId="4" fontId="6" fillId="12" borderId="1" xfId="19" applyNumberFormat="1" applyFont="1" applyFill="1" applyBorder="1"/>
    <xf numFmtId="4" fontId="0" fillId="12" borderId="1" xfId="0" applyNumberFormat="1" applyFill="1" applyBorder="1" applyAlignment="1">
      <alignment horizontal="center"/>
    </xf>
    <xf numFmtId="4" fontId="6" fillId="12" borderId="33" xfId="20" applyNumberFormat="1" applyFont="1" applyFill="1" applyBorder="1"/>
    <xf numFmtId="4" fontId="0" fillId="12" borderId="1" xfId="0" applyNumberFormat="1" applyFill="1" applyBorder="1"/>
    <xf numFmtId="0" fontId="0" fillId="12" borderId="34" xfId="0" applyFill="1" applyBorder="1"/>
    <xf numFmtId="4" fontId="39" fillId="12" borderId="1" xfId="19" applyNumberFormat="1" applyFont="1" applyFill="1" applyBorder="1"/>
    <xf numFmtId="0" fontId="39" fillId="12" borderId="1" xfId="19" applyFont="1" applyFill="1" applyBorder="1"/>
    <xf numFmtId="4" fontId="3" fillId="12" borderId="1" xfId="0" applyNumberFormat="1" applyFont="1" applyFill="1" applyBorder="1" applyAlignment="1"/>
    <xf numFmtId="4" fontId="3" fillId="12" borderId="33" xfId="0" applyNumberFormat="1" applyFont="1" applyFill="1" applyBorder="1" applyAlignment="1"/>
    <xf numFmtId="0" fontId="0" fillId="12" borderId="35" xfId="0" applyFill="1" applyBorder="1"/>
    <xf numFmtId="4" fontId="39" fillId="12" borderId="36" xfId="19" applyNumberFormat="1" applyFont="1" applyFill="1" applyBorder="1"/>
    <xf numFmtId="0" fontId="39" fillId="12" borderId="36" xfId="19" applyFont="1" applyFill="1" applyBorder="1"/>
    <xf numFmtId="4" fontId="3" fillId="12" borderId="36" xfId="0" applyNumberFormat="1" applyFont="1" applyFill="1" applyBorder="1" applyAlignment="1"/>
    <xf numFmtId="4" fontId="3" fillId="12" borderId="39" xfId="0" applyNumberFormat="1" applyFont="1" applyFill="1" applyBorder="1" applyAlignment="1"/>
    <xf numFmtId="0" fontId="3" fillId="12" borderId="0" xfId="19" applyFont="1" applyFill="1" applyBorder="1" applyAlignment="1"/>
    <xf numFmtId="0" fontId="4" fillId="3" borderId="28" xfId="26" applyFont="1" applyFill="1" applyBorder="1" applyAlignment="1">
      <alignment vertical="top"/>
    </xf>
    <xf numFmtId="4" fontId="4" fillId="3" borderId="29" xfId="19" applyNumberFormat="1" applyFont="1" applyFill="1" applyBorder="1" applyAlignment="1">
      <alignment vertical="top"/>
    </xf>
    <xf numFmtId="4" fontId="4" fillId="3" borderId="29" xfId="19" applyNumberFormat="1" applyFont="1" applyFill="1" applyBorder="1" applyAlignment="1">
      <alignment horizontal="center" vertical="top"/>
    </xf>
    <xf numFmtId="4" fontId="6" fillId="3" borderId="38" xfId="20" applyNumberFormat="1" applyFont="1" applyFill="1" applyBorder="1" applyAlignment="1">
      <alignment vertical="top"/>
    </xf>
    <xf numFmtId="0" fontId="4" fillId="3" borderId="34" xfId="26" applyFont="1" applyFill="1" applyBorder="1" applyAlignment="1">
      <alignment vertical="top"/>
    </xf>
    <xf numFmtId="2" fontId="4" fillId="3" borderId="1" xfId="26" applyNumberFormat="1" applyFont="1" applyFill="1" applyBorder="1" applyAlignment="1">
      <alignment vertical="top"/>
    </xf>
    <xf numFmtId="0" fontId="4" fillId="3" borderId="1" xfId="26" applyFont="1" applyFill="1" applyBorder="1" applyAlignment="1">
      <alignment horizontal="center" vertical="top"/>
    </xf>
    <xf numFmtId="4" fontId="4" fillId="3" borderId="1" xfId="26" applyNumberFormat="1" applyFont="1" applyFill="1" applyBorder="1" applyAlignment="1">
      <alignment horizontal="right" vertical="top"/>
    </xf>
    <xf numFmtId="4" fontId="6" fillId="3" borderId="33" xfId="20" applyNumberFormat="1" applyFont="1" applyFill="1" applyBorder="1" applyAlignment="1">
      <alignment vertical="top"/>
    </xf>
    <xf numFmtId="0" fontId="4" fillId="3" borderId="34" xfId="26" applyFont="1" applyFill="1" applyBorder="1" applyAlignment="1">
      <alignment vertical="top" wrapText="1"/>
    </xf>
    <xf numFmtId="2" fontId="4" fillId="3" borderId="1" xfId="26" applyNumberFormat="1" applyFont="1" applyFill="1" applyBorder="1" applyAlignment="1"/>
    <xf numFmtId="0" fontId="4" fillId="3" borderId="1" xfId="26" applyFont="1" applyFill="1" applyBorder="1" applyAlignment="1">
      <alignment horizontal="center"/>
    </xf>
    <xf numFmtId="4" fontId="6" fillId="3" borderId="33" xfId="20" applyNumberFormat="1" applyFont="1" applyFill="1" applyBorder="1" applyAlignment="1"/>
    <xf numFmtId="0" fontId="4" fillId="3" borderId="34" xfId="26" quotePrefix="1" applyFont="1" applyFill="1" applyBorder="1" applyAlignment="1">
      <alignment horizontal="left" vertical="top"/>
    </xf>
    <xf numFmtId="0" fontId="3" fillId="13" borderId="34" xfId="26" applyFont="1" applyFill="1" applyBorder="1" applyAlignment="1">
      <alignment vertical="top"/>
    </xf>
    <xf numFmtId="4" fontId="4" fillId="3" borderId="33" xfId="26" applyNumberFormat="1" applyFont="1" applyFill="1" applyBorder="1" applyAlignment="1">
      <alignment vertical="top"/>
    </xf>
    <xf numFmtId="0" fontId="3" fillId="3" borderId="35" xfId="26" applyFont="1" applyFill="1" applyBorder="1" applyAlignment="1">
      <alignment horizontal="left" vertical="top"/>
    </xf>
    <xf numFmtId="0" fontId="3" fillId="3" borderId="36" xfId="26" applyFont="1" applyFill="1" applyBorder="1" applyAlignment="1">
      <alignment horizontal="left" vertical="top"/>
    </xf>
    <xf numFmtId="4" fontId="3" fillId="3" borderId="39" xfId="26" applyNumberFormat="1" applyFont="1" applyFill="1" applyBorder="1" applyAlignment="1">
      <alignment vertical="top"/>
    </xf>
    <xf numFmtId="0" fontId="6" fillId="0" borderId="29" xfId="19" applyFont="1" applyFill="1" applyBorder="1" applyAlignment="1">
      <alignment horizontal="center"/>
    </xf>
    <xf numFmtId="0" fontId="3" fillId="3" borderId="0" xfId="32" applyFont="1" applyFill="1" applyBorder="1"/>
    <xf numFmtId="39" fontId="4" fillId="3" borderId="0" xfId="32" applyNumberFormat="1" applyFont="1" applyFill="1" applyBorder="1"/>
    <xf numFmtId="39" fontId="4" fillId="3" borderId="0" xfId="32" applyNumberFormat="1" applyFont="1" applyFill="1" applyBorder="1" applyAlignment="1">
      <alignment horizontal="centerContinuous"/>
    </xf>
    <xf numFmtId="39" fontId="3" fillId="3" borderId="0" xfId="32" applyNumberFormat="1" applyFont="1" applyFill="1" applyBorder="1" applyAlignment="1">
      <alignment horizontal="right"/>
    </xf>
    <xf numFmtId="2" fontId="3" fillId="3" borderId="0" xfId="32" applyNumberFormat="1" applyFont="1" applyFill="1" applyBorder="1" applyAlignment="1">
      <alignment horizontal="right"/>
    </xf>
    <xf numFmtId="0" fontId="4" fillId="3" borderId="1" xfId="0" applyFont="1" applyFill="1" applyBorder="1"/>
    <xf numFmtId="4" fontId="4" fillId="3" borderId="1" xfId="33" applyNumberFormat="1" applyFont="1" applyFill="1" applyBorder="1" applyAlignment="1">
      <alignment horizontal="right"/>
    </xf>
    <xf numFmtId="4" fontId="4" fillId="3" borderId="1" xfId="32" applyNumberFormat="1" applyFont="1" applyFill="1" applyBorder="1"/>
    <xf numFmtId="0" fontId="4" fillId="3" borderId="1" xfId="32" applyFont="1" applyFill="1" applyBorder="1"/>
    <xf numFmtId="0" fontId="4" fillId="3" borderId="1" xfId="32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32" applyNumberFormat="1" applyFont="1" applyFill="1" applyBorder="1"/>
    <xf numFmtId="0" fontId="4" fillId="3" borderId="0" xfId="21" applyFont="1" applyFill="1" applyBorder="1"/>
    <xf numFmtId="0" fontId="3" fillId="3" borderId="0" xfId="21" applyFont="1" applyFill="1" applyBorder="1" applyAlignment="1">
      <alignment horizontal="right"/>
    </xf>
    <xf numFmtId="39" fontId="3" fillId="3" borderId="0" xfId="21" applyNumberFormat="1" applyFont="1" applyFill="1" applyBorder="1" applyAlignment="1">
      <alignment horizontal="right"/>
    </xf>
    <xf numFmtId="0" fontId="44" fillId="3" borderId="0" xfId="0" applyFont="1" applyFill="1" applyBorder="1" applyAlignment="1">
      <alignment horizontal="left"/>
    </xf>
    <xf numFmtId="43" fontId="4" fillId="3" borderId="0" xfId="34" applyFont="1" applyFill="1" applyBorder="1"/>
    <xf numFmtId="43" fontId="3" fillId="3" borderId="0" xfId="34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43" fontId="4" fillId="3" borderId="29" xfId="34" applyFont="1" applyFill="1" applyBorder="1"/>
    <xf numFmtId="43" fontId="4" fillId="3" borderId="50" xfId="34" applyFont="1" applyFill="1" applyBorder="1" applyAlignment="1">
      <alignment horizontal="centerContinuous"/>
    </xf>
    <xf numFmtId="43" fontId="4" fillId="3" borderId="33" xfId="34" applyFont="1" applyFill="1" applyBorder="1"/>
    <xf numFmtId="0" fontId="4" fillId="3" borderId="32" xfId="0" applyFont="1" applyFill="1" applyBorder="1" applyAlignment="1">
      <alignment horizontal="left"/>
    </xf>
    <xf numFmtId="43" fontId="4" fillId="3" borderId="5" xfId="34" applyFont="1" applyFill="1" applyBorder="1"/>
    <xf numFmtId="43" fontId="4" fillId="3" borderId="4" xfId="34" applyFont="1" applyFill="1" applyBorder="1" applyAlignment="1">
      <alignment horizontal="centerContinuous"/>
    </xf>
    <xf numFmtId="43" fontId="4" fillId="3" borderId="2" xfId="34" applyFont="1" applyFill="1" applyBorder="1"/>
    <xf numFmtId="43" fontId="4" fillId="3" borderId="1" xfId="34" applyFont="1" applyFill="1" applyBorder="1"/>
    <xf numFmtId="43" fontId="4" fillId="3" borderId="5" xfId="34" applyFont="1" applyFill="1" applyBorder="1" applyAlignment="1">
      <alignment horizontal="centerContinuous"/>
    </xf>
    <xf numFmtId="43" fontId="4" fillId="3" borderId="1" xfId="34" applyFont="1" applyFill="1" applyBorder="1" applyAlignment="1">
      <alignment horizontal="centerContinuous"/>
    </xf>
    <xf numFmtId="0" fontId="3" fillId="3" borderId="46" xfId="0" applyFont="1" applyFill="1" applyBorder="1" applyAlignment="1">
      <alignment horizontal="left"/>
    </xf>
    <xf numFmtId="43" fontId="4" fillId="3" borderId="1" xfId="34" applyFont="1" applyFill="1" applyBorder="1" applyAlignment="1">
      <alignment horizontal="center"/>
    </xf>
    <xf numFmtId="43" fontId="4" fillId="3" borderId="3" xfId="34" applyFont="1" applyFill="1" applyBorder="1"/>
    <xf numFmtId="43" fontId="4" fillId="3" borderId="3" xfId="34" applyFont="1" applyFill="1" applyBorder="1" applyAlignment="1">
      <alignment horizontal="center"/>
    </xf>
    <xf numFmtId="43" fontId="4" fillId="3" borderId="47" xfId="34" applyFont="1" applyFill="1" applyBorder="1"/>
    <xf numFmtId="0" fontId="4" fillId="3" borderId="52" xfId="0" applyFont="1" applyFill="1" applyBorder="1" applyAlignment="1">
      <alignment horizontal="left"/>
    </xf>
    <xf numFmtId="43" fontId="4" fillId="3" borderId="53" xfId="34" applyFont="1" applyFill="1" applyBorder="1"/>
    <xf numFmtId="43" fontId="3" fillId="3" borderId="53" xfId="34" applyFont="1" applyFill="1" applyBorder="1" applyAlignment="1">
      <alignment horizontal="right"/>
    </xf>
    <xf numFmtId="43" fontId="3" fillId="3" borderId="54" xfId="34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43" fontId="3" fillId="3" borderId="22" xfId="34" applyFont="1" applyFill="1" applyBorder="1" applyAlignment="1">
      <alignment horizontal="right"/>
    </xf>
    <xf numFmtId="43" fontId="4" fillId="3" borderId="0" xfId="34" applyFont="1" applyFill="1" applyBorder="1" applyAlignment="1">
      <alignment horizontal="centerContinuous"/>
    </xf>
    <xf numFmtId="39" fontId="3" fillId="3" borderId="0" xfId="35" applyNumberFormat="1" applyFont="1" applyFill="1" applyBorder="1" applyAlignment="1">
      <alignment horizontal="right"/>
    </xf>
    <xf numFmtId="0" fontId="45" fillId="3" borderId="0" xfId="32" applyFont="1" applyFill="1"/>
    <xf numFmtId="0" fontId="24" fillId="3" borderId="0" xfId="32" applyFont="1" applyFill="1"/>
    <xf numFmtId="0" fontId="3" fillId="3" borderId="0" xfId="0" applyFont="1" applyFill="1" applyBorder="1" applyAlignment="1">
      <alignment horizontal="right"/>
    </xf>
    <xf numFmtId="4" fontId="3" fillId="10" borderId="0" xfId="0" applyNumberFormat="1" applyFont="1" applyFill="1" applyBorder="1" applyAlignment="1">
      <alignment horizontal="left"/>
    </xf>
    <xf numFmtId="4" fontId="29" fillId="10" borderId="0" xfId="0" applyNumberFormat="1" applyFont="1" applyFill="1" applyBorder="1" applyAlignment="1">
      <alignment horizontal="left"/>
    </xf>
    <xf numFmtId="0" fontId="4" fillId="3" borderId="1" xfId="0" applyFont="1" applyFill="1" applyBorder="1" applyAlignment="1"/>
    <xf numFmtId="4" fontId="4" fillId="3" borderId="1" xfId="0" applyNumberFormat="1" applyFont="1" applyFill="1" applyBorder="1"/>
    <xf numFmtId="0" fontId="9" fillId="3" borderId="1" xfId="0" applyFont="1" applyFill="1" applyBorder="1" applyAlignment="1" applyProtection="1">
      <alignment horizontal="center" vertical="center"/>
    </xf>
    <xf numFmtId="4" fontId="9" fillId="3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>
      <alignment horizontal="right"/>
    </xf>
    <xf numFmtId="4" fontId="3" fillId="3" borderId="1" xfId="0" applyNumberFormat="1" applyFont="1" applyFill="1" applyBorder="1"/>
    <xf numFmtId="0" fontId="4" fillId="3" borderId="18" xfId="0" applyFont="1" applyFill="1" applyBorder="1" applyAlignment="1">
      <alignment horizontal="right"/>
    </xf>
    <xf numFmtId="4" fontId="4" fillId="3" borderId="60" xfId="0" applyNumberFormat="1" applyFont="1" applyFill="1" applyBorder="1"/>
    <xf numFmtId="0" fontId="4" fillId="3" borderId="60" xfId="0" applyFont="1" applyFill="1" applyBorder="1" applyAlignment="1">
      <alignment horizontal="right"/>
    </xf>
    <xf numFmtId="4" fontId="29" fillId="3" borderId="2" xfId="0" applyNumberFormat="1" applyFont="1" applyFill="1" applyBorder="1"/>
    <xf numFmtId="0" fontId="6" fillId="0" borderId="0" xfId="19" applyFont="1" applyFill="1"/>
    <xf numFmtId="0" fontId="24" fillId="3" borderId="0" xfId="21" applyFont="1" applyFill="1" applyAlignment="1">
      <alignment vertical="top"/>
    </xf>
    <xf numFmtId="4" fontId="6" fillId="3" borderId="0" xfId="21" applyNumberFormat="1" applyFont="1" applyFill="1" applyAlignment="1">
      <alignment vertical="top"/>
    </xf>
    <xf numFmtId="0" fontId="6" fillId="3" borderId="0" xfId="21" applyFont="1" applyFill="1" applyAlignment="1">
      <alignment vertical="top"/>
    </xf>
    <xf numFmtId="0" fontId="6" fillId="3" borderId="28" xfId="21" applyFont="1" applyFill="1" applyBorder="1" applyAlignment="1">
      <alignment vertical="top"/>
    </xf>
    <xf numFmtId="4" fontId="6" fillId="3" borderId="29" xfId="21" applyNumberFormat="1" applyFont="1" applyFill="1" applyBorder="1" applyAlignment="1">
      <alignment vertical="top"/>
    </xf>
    <xf numFmtId="0" fontId="6" fillId="3" borderId="29" xfId="21" applyFont="1" applyFill="1" applyBorder="1" applyAlignment="1">
      <alignment horizontal="center" vertical="top"/>
    </xf>
    <xf numFmtId="0" fontId="6" fillId="3" borderId="32" xfId="21" applyFont="1" applyFill="1" applyBorder="1" applyAlignment="1">
      <alignment vertical="top"/>
    </xf>
    <xf numFmtId="4" fontId="6" fillId="3" borderId="5" xfId="21" applyNumberFormat="1" applyFont="1" applyFill="1" applyBorder="1" applyAlignment="1">
      <alignment vertical="top"/>
    </xf>
    <xf numFmtId="0" fontId="6" fillId="3" borderId="5" xfId="21" applyFont="1" applyFill="1" applyBorder="1" applyAlignment="1">
      <alignment horizontal="center" vertical="top"/>
    </xf>
    <xf numFmtId="0" fontId="6" fillId="3" borderId="34" xfId="21" applyFont="1" applyFill="1" applyBorder="1" applyAlignment="1">
      <alignment vertical="top"/>
    </xf>
    <xf numFmtId="4" fontId="6" fillId="3" borderId="1" xfId="21" applyNumberFormat="1" applyFont="1" applyFill="1" applyBorder="1" applyAlignment="1">
      <alignment vertical="top"/>
    </xf>
    <xf numFmtId="0" fontId="6" fillId="3" borderId="1" xfId="21" applyFont="1" applyFill="1" applyBorder="1" applyAlignment="1">
      <alignment horizontal="center" vertical="top"/>
    </xf>
    <xf numFmtId="0" fontId="6" fillId="3" borderId="35" xfId="21" applyFont="1" applyFill="1" applyBorder="1" applyAlignment="1">
      <alignment vertical="top"/>
    </xf>
    <xf numFmtId="4" fontId="6" fillId="3" borderId="36" xfId="21" applyNumberFormat="1" applyFont="1" applyFill="1" applyBorder="1" applyAlignment="1">
      <alignment vertical="top"/>
    </xf>
    <xf numFmtId="4" fontId="24" fillId="3" borderId="39" xfId="21" applyNumberFormat="1" applyFont="1" applyFill="1" applyBorder="1" applyAlignment="1">
      <alignment vertical="top"/>
    </xf>
    <xf numFmtId="0" fontId="24" fillId="12" borderId="0" xfId="21" applyFont="1" applyFill="1" applyAlignment="1">
      <alignment vertical="top"/>
    </xf>
    <xf numFmtId="0" fontId="6" fillId="3" borderId="36" xfId="21" applyFont="1" applyFill="1" applyBorder="1" applyAlignment="1">
      <alignment vertical="top"/>
    </xf>
    <xf numFmtId="0" fontId="3" fillId="3" borderId="0" xfId="0" applyFont="1" applyFill="1"/>
    <xf numFmtId="0" fontId="46" fillId="3" borderId="0" xfId="0" applyFont="1" applyFill="1"/>
    <xf numFmtId="0" fontId="4" fillId="3" borderId="0" xfId="0" applyFont="1" applyFill="1"/>
    <xf numFmtId="0" fontId="4" fillId="3" borderId="61" xfId="0" applyFont="1" applyFill="1" applyBorder="1"/>
    <xf numFmtId="0" fontId="4" fillId="3" borderId="29" xfId="0" applyFont="1" applyFill="1" applyBorder="1"/>
    <xf numFmtId="0" fontId="4" fillId="3" borderId="29" xfId="0" applyFont="1" applyFill="1" applyBorder="1" applyAlignment="1">
      <alignment horizontal="centerContinuous"/>
    </xf>
    <xf numFmtId="39" fontId="4" fillId="3" borderId="29" xfId="0" applyNumberFormat="1" applyFont="1" applyFill="1" applyBorder="1"/>
    <xf numFmtId="39" fontId="4" fillId="3" borderId="38" xfId="0" applyNumberFormat="1" applyFont="1" applyFill="1" applyBorder="1"/>
    <xf numFmtId="0" fontId="4" fillId="3" borderId="34" xfId="0" applyFont="1" applyFill="1" applyBorder="1"/>
    <xf numFmtId="0" fontId="4" fillId="3" borderId="1" xfId="0" applyFont="1" applyFill="1" applyBorder="1" applyAlignment="1">
      <alignment horizontal="centerContinuous"/>
    </xf>
    <xf numFmtId="39" fontId="4" fillId="3" borderId="1" xfId="0" applyNumberFormat="1" applyFont="1" applyFill="1" applyBorder="1"/>
    <xf numFmtId="39" fontId="4" fillId="3" borderId="33" xfId="0" applyNumberFormat="1" applyFont="1" applyFill="1" applyBorder="1"/>
    <xf numFmtId="39" fontId="3" fillId="3" borderId="39" xfId="0" applyNumberFormat="1" applyFont="1" applyFill="1" applyBorder="1" applyAlignment="1">
      <alignment horizontal="right"/>
    </xf>
    <xf numFmtId="0" fontId="4" fillId="3" borderId="0" xfId="0" applyFont="1" applyFill="1" applyBorder="1"/>
    <xf numFmtId="39" fontId="3" fillId="3" borderId="0" xfId="0" applyNumberFormat="1" applyFont="1" applyFill="1" applyBorder="1" applyAlignment="1">
      <alignment horizontal="right"/>
    </xf>
    <xf numFmtId="0" fontId="3" fillId="11" borderId="0" xfId="0" applyFont="1" applyFill="1"/>
    <xf numFmtId="0" fontId="46" fillId="11" borderId="0" xfId="0" applyFont="1" applyFill="1"/>
    <xf numFmtId="0" fontId="4" fillId="11" borderId="0" xfId="0" applyFont="1" applyFill="1"/>
    <xf numFmtId="0" fontId="4" fillId="11" borderId="61" xfId="0" applyFont="1" applyFill="1" applyBorder="1"/>
    <xf numFmtId="0" fontId="4" fillId="11" borderId="29" xfId="0" applyFont="1" applyFill="1" applyBorder="1"/>
    <xf numFmtId="0" fontId="4" fillId="11" borderId="29" xfId="0" applyFont="1" applyFill="1" applyBorder="1" applyAlignment="1">
      <alignment horizontal="centerContinuous"/>
    </xf>
    <xf numFmtId="39" fontId="4" fillId="11" borderId="29" xfId="0" applyNumberFormat="1" applyFont="1" applyFill="1" applyBorder="1"/>
    <xf numFmtId="39" fontId="4" fillId="11" borderId="38" xfId="0" applyNumberFormat="1" applyFont="1" applyFill="1" applyBorder="1"/>
    <xf numFmtId="0" fontId="4" fillId="11" borderId="34" xfId="0" applyFont="1" applyFill="1" applyBorder="1"/>
    <xf numFmtId="0" fontId="4" fillId="11" borderId="1" xfId="0" applyFont="1" applyFill="1" applyBorder="1"/>
    <xf numFmtId="0" fontId="4" fillId="11" borderId="1" xfId="0" applyFont="1" applyFill="1" applyBorder="1" applyAlignment="1">
      <alignment horizontal="centerContinuous"/>
    </xf>
    <xf numFmtId="39" fontId="4" fillId="11" borderId="1" xfId="0" applyNumberFormat="1" applyFont="1" applyFill="1" applyBorder="1"/>
    <xf numFmtId="39" fontId="4" fillId="11" borderId="33" xfId="0" applyNumberFormat="1" applyFont="1" applyFill="1" applyBorder="1"/>
    <xf numFmtId="0" fontId="4" fillId="11" borderId="35" xfId="0" applyFont="1" applyFill="1" applyBorder="1"/>
    <xf numFmtId="0" fontId="4" fillId="11" borderId="36" xfId="0" applyFont="1" applyFill="1" applyBorder="1"/>
    <xf numFmtId="0" fontId="3" fillId="15" borderId="0" xfId="0" applyFont="1" applyFill="1"/>
    <xf numFmtId="0" fontId="0" fillId="11" borderId="0" xfId="0" applyFill="1"/>
    <xf numFmtId="0" fontId="0" fillId="15" borderId="0" xfId="0" applyFill="1"/>
    <xf numFmtId="2" fontId="4" fillId="11" borderId="1" xfId="0" applyNumberFormat="1" applyFont="1" applyFill="1" applyBorder="1"/>
    <xf numFmtId="2" fontId="0" fillId="0" borderId="0" xfId="0" applyNumberFormat="1"/>
    <xf numFmtId="0" fontId="9" fillId="3" borderId="0" xfId="0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 applyAlignment="1">
      <alignment horizontal="right"/>
    </xf>
    <xf numFmtId="39" fontId="5" fillId="3" borderId="0" xfId="0" applyNumberFormat="1" applyFont="1" applyFill="1" applyBorder="1" applyAlignment="1">
      <alignment horizontal="right"/>
    </xf>
    <xf numFmtId="0" fontId="3" fillId="10" borderId="0" xfId="0" applyFont="1" applyFill="1"/>
    <xf numFmtId="0" fontId="46" fillId="10" borderId="0" xfId="0" applyFont="1" applyFill="1"/>
    <xf numFmtId="0" fontId="4" fillId="10" borderId="0" xfId="0" applyFont="1" applyFill="1"/>
    <xf numFmtId="0" fontId="4" fillId="10" borderId="61" xfId="0" applyFont="1" applyFill="1" applyBorder="1"/>
    <xf numFmtId="0" fontId="3" fillId="10" borderId="0" xfId="0" applyFont="1" applyFill="1" applyAlignment="1">
      <alignment horizontal="right"/>
    </xf>
    <xf numFmtId="39" fontId="3" fillId="10" borderId="0" xfId="0" applyNumberFormat="1" applyFont="1" applyFill="1" applyAlignment="1">
      <alignment horizontal="right"/>
    </xf>
    <xf numFmtId="0" fontId="4" fillId="10" borderId="29" xfId="0" applyFont="1" applyFill="1" applyBorder="1"/>
    <xf numFmtId="0" fontId="4" fillId="10" borderId="29" xfId="0" applyFont="1" applyFill="1" applyBorder="1" applyAlignment="1">
      <alignment horizontal="centerContinuous"/>
    </xf>
    <xf numFmtId="39" fontId="4" fillId="10" borderId="29" xfId="0" applyNumberFormat="1" applyFont="1" applyFill="1" applyBorder="1"/>
    <xf numFmtId="39" fontId="4" fillId="10" borderId="38" xfId="0" applyNumberFormat="1" applyFont="1" applyFill="1" applyBorder="1"/>
    <xf numFmtId="0" fontId="4" fillId="10" borderId="34" xfId="0" applyFont="1" applyFill="1" applyBorder="1"/>
    <xf numFmtId="0" fontId="4" fillId="10" borderId="1" xfId="0" applyFont="1" applyFill="1" applyBorder="1" applyAlignment="1">
      <alignment horizontal="centerContinuous"/>
    </xf>
    <xf numFmtId="39" fontId="4" fillId="10" borderId="1" xfId="0" applyNumberFormat="1" applyFont="1" applyFill="1" applyBorder="1"/>
    <xf numFmtId="39" fontId="4" fillId="10" borderId="33" xfId="0" applyNumberFormat="1" applyFont="1" applyFill="1" applyBorder="1"/>
    <xf numFmtId="0" fontId="4" fillId="10" borderId="1" xfId="0" applyFont="1" applyFill="1" applyBorder="1"/>
    <xf numFmtId="0" fontId="4" fillId="10" borderId="1" xfId="0" applyFont="1" applyFill="1" applyBorder="1" applyAlignment="1">
      <alignment horizontal="center"/>
    </xf>
    <xf numFmtId="0" fontId="4" fillId="10" borderId="35" xfId="0" applyFont="1" applyFill="1" applyBorder="1"/>
    <xf numFmtId="0" fontId="4" fillId="10" borderId="36" xfId="0" applyFont="1" applyFill="1" applyBorder="1"/>
    <xf numFmtId="0" fontId="3" fillId="10" borderId="36" xfId="0" applyFont="1" applyFill="1" applyBorder="1" applyAlignment="1">
      <alignment horizontal="right"/>
    </xf>
    <xf numFmtId="39" fontId="3" fillId="10" borderId="39" xfId="0" applyNumberFormat="1" applyFont="1" applyFill="1" applyBorder="1" applyAlignment="1">
      <alignment horizontal="right"/>
    </xf>
    <xf numFmtId="0" fontId="28" fillId="10" borderId="1" xfId="0" applyFont="1" applyFill="1" applyBorder="1"/>
    <xf numFmtId="4" fontId="4" fillId="11" borderId="1" xfId="0" applyNumberFormat="1" applyFont="1" applyFill="1" applyBorder="1"/>
    <xf numFmtId="0" fontId="4" fillId="11" borderId="1" xfId="0" applyFont="1" applyFill="1" applyBorder="1" applyAlignment="1">
      <alignment horizontal="center"/>
    </xf>
    <xf numFmtId="0" fontId="3" fillId="11" borderId="36" xfId="0" applyFont="1" applyFill="1" applyBorder="1" applyAlignment="1">
      <alignment horizontal="right"/>
    </xf>
    <xf numFmtId="39" fontId="3" fillId="11" borderId="39" xfId="0" applyNumberFormat="1" applyFont="1" applyFill="1" applyBorder="1" applyAlignment="1">
      <alignment horizontal="right"/>
    </xf>
    <xf numFmtId="4" fontId="4" fillId="10" borderId="1" xfId="0" applyNumberFormat="1" applyFont="1" applyFill="1" applyBorder="1"/>
    <xf numFmtId="0" fontId="5" fillId="3" borderId="0" xfId="0" applyFont="1" applyFill="1" applyAlignment="1">
      <alignment horizontal="right"/>
    </xf>
    <xf numFmtId="39" fontId="5" fillId="3" borderId="0" xfId="0" applyNumberFormat="1" applyFont="1" applyFill="1" applyAlignment="1">
      <alignment horizontal="right"/>
    </xf>
    <xf numFmtId="0" fontId="3" fillId="11" borderId="0" xfId="0" applyFont="1" applyFill="1" applyAlignment="1">
      <alignment horizontal="right"/>
    </xf>
    <xf numFmtId="39" fontId="3" fillId="11" borderId="0" xfId="0" applyNumberFormat="1" applyFont="1" applyFill="1" applyAlignment="1">
      <alignment horizontal="right"/>
    </xf>
    <xf numFmtId="0" fontId="28" fillId="11" borderId="1" xfId="0" applyFont="1" applyFill="1" applyBorder="1"/>
    <xf numFmtId="0" fontId="9" fillId="0" borderId="0" xfId="0" applyFont="1" applyFill="1"/>
    <xf numFmtId="0" fontId="3" fillId="16" borderId="0" xfId="0" applyFont="1" applyFill="1"/>
    <xf numFmtId="0" fontId="31" fillId="0" borderId="0" xfId="0" applyFont="1" applyFill="1"/>
    <xf numFmtId="0" fontId="31" fillId="16" borderId="61" xfId="0" applyFont="1" applyFill="1" applyBorder="1"/>
    <xf numFmtId="0" fontId="31" fillId="16" borderId="29" xfId="0" applyFont="1" applyFill="1" applyBorder="1"/>
    <xf numFmtId="0" fontId="31" fillId="16" borderId="29" xfId="0" applyFont="1" applyFill="1" applyBorder="1" applyAlignment="1">
      <alignment horizontal="centerContinuous"/>
    </xf>
    <xf numFmtId="39" fontId="31" fillId="16" borderId="29" xfId="0" applyNumberFormat="1" applyFont="1" applyFill="1" applyBorder="1"/>
    <xf numFmtId="39" fontId="31" fillId="16" borderId="38" xfId="0" applyNumberFormat="1" applyFont="1" applyFill="1" applyBorder="1"/>
    <xf numFmtId="0" fontId="31" fillId="16" borderId="34" xfId="0" applyFont="1" applyFill="1" applyBorder="1"/>
    <xf numFmtId="0" fontId="31" fillId="16" borderId="1" xfId="0" applyFont="1" applyFill="1" applyBorder="1"/>
    <xf numFmtId="0" fontId="31" fillId="16" borderId="1" xfId="0" applyFont="1" applyFill="1" applyBorder="1" applyAlignment="1">
      <alignment horizontal="centerContinuous"/>
    </xf>
    <xf numFmtId="39" fontId="31" fillId="16" borderId="1" xfId="0" applyNumberFormat="1" applyFont="1" applyFill="1" applyBorder="1"/>
    <xf numFmtId="39" fontId="31" fillId="16" borderId="33" xfId="0" applyNumberFormat="1" applyFont="1" applyFill="1" applyBorder="1"/>
    <xf numFmtId="0" fontId="31" fillId="16" borderId="46" xfId="0" applyFont="1" applyFill="1" applyBorder="1"/>
    <xf numFmtId="0" fontId="31" fillId="16" borderId="3" xfId="0" applyFont="1" applyFill="1" applyBorder="1"/>
    <xf numFmtId="0" fontId="31" fillId="16" borderId="3" xfId="0" applyFont="1" applyFill="1" applyBorder="1" applyAlignment="1">
      <alignment horizontal="centerContinuous"/>
    </xf>
    <xf numFmtId="39" fontId="31" fillId="16" borderId="3" xfId="0" applyNumberFormat="1" applyFont="1" applyFill="1" applyBorder="1"/>
    <xf numFmtId="0" fontId="31" fillId="16" borderId="35" xfId="0" applyFont="1" applyFill="1" applyBorder="1"/>
    <xf numFmtId="0" fontId="31" fillId="16" borderId="36" xfId="0" applyFont="1" applyFill="1" applyBorder="1"/>
    <xf numFmtId="0" fontId="32" fillId="16" borderId="36" xfId="0" applyFont="1" applyFill="1" applyBorder="1" applyAlignment="1">
      <alignment horizontal="right"/>
    </xf>
    <xf numFmtId="39" fontId="32" fillId="16" borderId="39" xfId="0" applyNumberFormat="1" applyFont="1" applyFill="1" applyBorder="1" applyAlignment="1">
      <alignment horizontal="right"/>
    </xf>
    <xf numFmtId="0" fontId="4" fillId="16" borderId="28" xfId="0" applyFont="1" applyFill="1" applyBorder="1"/>
    <xf numFmtId="4" fontId="4" fillId="16" borderId="29" xfId="0" applyNumberFormat="1" applyFont="1" applyFill="1" applyBorder="1"/>
    <xf numFmtId="0" fontId="4" fillId="16" borderId="29" xfId="0" applyFont="1" applyFill="1" applyBorder="1" applyAlignment="1">
      <alignment horizontal="center"/>
    </xf>
    <xf numFmtId="39" fontId="4" fillId="16" borderId="29" xfId="0" applyNumberFormat="1" applyFont="1" applyFill="1" applyBorder="1" applyAlignment="1">
      <alignment vertical="top" wrapText="1"/>
    </xf>
    <xf numFmtId="0" fontId="4" fillId="16" borderId="34" xfId="0" applyFont="1" applyFill="1" applyBorder="1"/>
    <xf numFmtId="4" fontId="4" fillId="16" borderId="1" xfId="0" applyNumberFormat="1" applyFont="1" applyFill="1" applyBorder="1"/>
    <xf numFmtId="0" fontId="4" fillId="16" borderId="1" xfId="0" applyFont="1" applyFill="1" applyBorder="1" applyAlignment="1">
      <alignment horizontal="center"/>
    </xf>
    <xf numFmtId="0" fontId="4" fillId="16" borderId="1" xfId="0" applyFont="1" applyFill="1" applyBorder="1"/>
    <xf numFmtId="2" fontId="4" fillId="16" borderId="1" xfId="0" applyNumberFormat="1" applyFont="1" applyFill="1" applyBorder="1"/>
    <xf numFmtId="0" fontId="0" fillId="0" borderId="0" xfId="0"/>
    <xf numFmtId="0" fontId="47" fillId="0" borderId="0" xfId="19" applyFont="1" applyFill="1"/>
    <xf numFmtId="0" fontId="3" fillId="16" borderId="0" xfId="19" quotePrefix="1" applyFont="1" applyFill="1" applyAlignment="1">
      <alignment horizontal="left"/>
    </xf>
    <xf numFmtId="0" fontId="32" fillId="16" borderId="0" xfId="19" applyFont="1" applyFill="1"/>
    <xf numFmtId="0" fontId="31" fillId="11" borderId="61" xfId="19" applyFont="1" applyFill="1" applyBorder="1"/>
    <xf numFmtId="0" fontId="31" fillId="16" borderId="29" xfId="19" applyFont="1" applyFill="1" applyBorder="1"/>
    <xf numFmtId="0" fontId="31" fillId="16" borderId="29" xfId="19" applyFont="1" applyFill="1" applyBorder="1" applyAlignment="1">
      <alignment horizontal="centerContinuous"/>
    </xf>
    <xf numFmtId="39" fontId="31" fillId="16" borderId="29" xfId="19" applyNumberFormat="1" applyFont="1" applyFill="1" applyBorder="1"/>
    <xf numFmtId="0" fontId="31" fillId="16" borderId="34" xfId="19" applyFont="1" applyFill="1" applyBorder="1"/>
    <xf numFmtId="2" fontId="31" fillId="16" borderId="1" xfId="19" applyNumberFormat="1" applyFont="1" applyFill="1" applyBorder="1"/>
    <xf numFmtId="0" fontId="31" fillId="16" borderId="1" xfId="19" applyFont="1" applyFill="1" applyBorder="1" applyAlignment="1">
      <alignment horizontal="centerContinuous"/>
    </xf>
    <xf numFmtId="39" fontId="31" fillId="16" borderId="1" xfId="19" applyNumberFormat="1" applyFont="1" applyFill="1" applyBorder="1"/>
    <xf numFmtId="0" fontId="31" fillId="16" borderId="1" xfId="19" applyFont="1" applyFill="1" applyBorder="1" applyAlignment="1">
      <alignment horizontal="center"/>
    </xf>
    <xf numFmtId="0" fontId="31" fillId="16" borderId="35" xfId="19" applyFont="1" applyFill="1" applyBorder="1"/>
    <xf numFmtId="0" fontId="31" fillId="16" borderId="36" xfId="19" applyFont="1" applyFill="1" applyBorder="1"/>
    <xf numFmtId="0" fontId="32" fillId="16" borderId="36" xfId="19" applyFont="1" applyFill="1" applyBorder="1" applyAlignment="1">
      <alignment horizontal="right"/>
    </xf>
    <xf numFmtId="0" fontId="12" fillId="11" borderId="0" xfId="19" applyFont="1" applyFill="1"/>
    <xf numFmtId="4" fontId="12" fillId="11" borderId="0" xfId="19" applyNumberFormat="1" applyFont="1" applyFill="1"/>
    <xf numFmtId="0" fontId="5" fillId="10" borderId="0" xfId="0" applyFont="1" applyFill="1"/>
    <xf numFmtId="0" fontId="48" fillId="10" borderId="0" xfId="0" applyFont="1" applyFill="1"/>
    <xf numFmtId="0" fontId="9" fillId="10" borderId="0" xfId="0" applyFont="1" applyFill="1"/>
    <xf numFmtId="0" fontId="5" fillId="10" borderId="0" xfId="0" applyFont="1" applyFill="1" applyAlignment="1">
      <alignment horizontal="right"/>
    </xf>
    <xf numFmtId="39" fontId="5" fillId="10" borderId="0" xfId="0" applyNumberFormat="1" applyFont="1" applyFill="1" applyAlignment="1">
      <alignment horizontal="right"/>
    </xf>
    <xf numFmtId="0" fontId="9" fillId="10" borderId="61" xfId="0" applyFont="1" applyFill="1" applyBorder="1"/>
    <xf numFmtId="0" fontId="9" fillId="10" borderId="29" xfId="0" applyFont="1" applyFill="1" applyBorder="1"/>
    <xf numFmtId="0" fontId="9" fillId="10" borderId="29" xfId="0" applyFont="1" applyFill="1" applyBorder="1" applyAlignment="1">
      <alignment horizontal="centerContinuous"/>
    </xf>
    <xf numFmtId="39" fontId="9" fillId="10" borderId="29" xfId="0" applyNumberFormat="1" applyFont="1" applyFill="1" applyBorder="1"/>
    <xf numFmtId="39" fontId="9" fillId="10" borderId="38" xfId="0" applyNumberFormat="1" applyFont="1" applyFill="1" applyBorder="1"/>
    <xf numFmtId="0" fontId="9" fillId="10" borderId="34" xfId="0" applyFont="1" applyFill="1" applyBorder="1"/>
    <xf numFmtId="0" fontId="9" fillId="10" borderId="1" xfId="0" applyFont="1" applyFill="1" applyBorder="1"/>
    <xf numFmtId="0" fontId="9" fillId="10" borderId="1" xfId="0" applyFont="1" applyFill="1" applyBorder="1" applyAlignment="1">
      <alignment horizontal="centerContinuous"/>
    </xf>
    <xf numFmtId="39" fontId="9" fillId="10" borderId="1" xfId="0" applyNumberFormat="1" applyFont="1" applyFill="1" applyBorder="1"/>
    <xf numFmtId="39" fontId="9" fillId="10" borderId="33" xfId="0" applyNumberFormat="1" applyFont="1" applyFill="1" applyBorder="1"/>
    <xf numFmtId="0" fontId="9" fillId="10" borderId="1" xfId="0" applyFont="1" applyFill="1" applyBorder="1" applyAlignment="1">
      <alignment horizontal="center"/>
    </xf>
    <xf numFmtId="0" fontId="9" fillId="10" borderId="35" xfId="0" applyFont="1" applyFill="1" applyBorder="1"/>
    <xf numFmtId="0" fontId="9" fillId="10" borderId="36" xfId="0" applyFont="1" applyFill="1" applyBorder="1"/>
    <xf numFmtId="0" fontId="5" fillId="10" borderId="36" xfId="0" applyFont="1" applyFill="1" applyBorder="1" applyAlignment="1">
      <alignment horizontal="right"/>
    </xf>
    <xf numFmtId="39" fontId="5" fillId="10" borderId="39" xfId="0" applyNumberFormat="1" applyFont="1" applyFill="1" applyBorder="1" applyAlignment="1">
      <alignment horizontal="right"/>
    </xf>
    <xf numFmtId="0" fontId="3" fillId="11" borderId="0" xfId="19" quotePrefix="1" applyFont="1" applyFill="1" applyAlignment="1">
      <alignment horizontal="left"/>
    </xf>
    <xf numFmtId="0" fontId="32" fillId="11" borderId="0" xfId="19" applyFont="1" applyFill="1"/>
    <xf numFmtId="0" fontId="31" fillId="11" borderId="29" xfId="19" applyFont="1" applyFill="1" applyBorder="1"/>
    <xf numFmtId="0" fontId="31" fillId="11" borderId="29" xfId="19" applyFont="1" applyFill="1" applyBorder="1" applyAlignment="1">
      <alignment horizontal="centerContinuous"/>
    </xf>
    <xf numFmtId="39" fontId="31" fillId="11" borderId="29" xfId="19" applyNumberFormat="1" applyFont="1" applyFill="1" applyBorder="1"/>
    <xf numFmtId="39" fontId="31" fillId="11" borderId="38" xfId="0" applyNumberFormat="1" applyFont="1" applyFill="1" applyBorder="1"/>
    <xf numFmtId="0" fontId="31" fillId="11" borderId="34" xfId="19" applyFont="1" applyFill="1" applyBorder="1"/>
    <xf numFmtId="2" fontId="31" fillId="11" borderId="1" xfId="19" applyNumberFormat="1" applyFont="1" applyFill="1" applyBorder="1"/>
    <xf numFmtId="0" fontId="31" fillId="11" borderId="1" xfId="19" applyFont="1" applyFill="1" applyBorder="1" applyAlignment="1">
      <alignment horizontal="centerContinuous"/>
    </xf>
    <xf numFmtId="39" fontId="31" fillId="11" borderId="1" xfId="19" applyNumberFormat="1" applyFont="1" applyFill="1" applyBorder="1"/>
    <xf numFmtId="39" fontId="31" fillId="11" borderId="33" xfId="0" applyNumberFormat="1" applyFont="1" applyFill="1" applyBorder="1"/>
    <xf numFmtId="0" fontId="31" fillId="11" borderId="1" xfId="19" applyFont="1" applyFill="1" applyBorder="1" applyAlignment="1">
      <alignment horizontal="center"/>
    </xf>
    <xf numFmtId="0" fontId="31" fillId="11" borderId="35" xfId="19" applyFont="1" applyFill="1" applyBorder="1"/>
    <xf numFmtId="0" fontId="31" fillId="11" borderId="36" xfId="19" applyFont="1" applyFill="1" applyBorder="1"/>
    <xf numFmtId="0" fontId="32" fillId="11" borderId="36" xfId="19" applyFont="1" applyFill="1" applyBorder="1" applyAlignment="1">
      <alignment horizontal="right"/>
    </xf>
    <xf numFmtId="0" fontId="6" fillId="3" borderId="0" xfId="21" applyFont="1" applyFill="1" applyBorder="1" applyAlignment="1">
      <alignment vertical="center" wrapText="1"/>
    </xf>
    <xf numFmtId="43" fontId="6" fillId="3" borderId="0" xfId="1" applyFont="1" applyFill="1" applyBorder="1" applyAlignment="1">
      <alignment horizontal="right" vertical="center" wrapText="1"/>
    </xf>
    <xf numFmtId="0" fontId="6" fillId="3" borderId="0" xfId="21" applyFont="1" applyFill="1" applyBorder="1" applyAlignment="1">
      <alignment horizontal="center" vertical="center" wrapText="1"/>
    </xf>
    <xf numFmtId="4" fontId="34" fillId="3" borderId="0" xfId="21" applyNumberFormat="1" applyFont="1" applyFill="1" applyBorder="1" applyAlignment="1">
      <alignment horizontal="right" vertical="center" wrapText="1"/>
    </xf>
    <xf numFmtId="4" fontId="34" fillId="3" borderId="0" xfId="21" applyNumberFormat="1" applyFont="1" applyFill="1" applyBorder="1" applyAlignment="1">
      <alignment vertical="center" wrapText="1"/>
    </xf>
    <xf numFmtId="0" fontId="39" fillId="11" borderId="0" xfId="19" applyFont="1" applyFill="1"/>
    <xf numFmtId="4" fontId="39" fillId="11" borderId="0" xfId="19" applyNumberFormat="1" applyFont="1" applyFill="1"/>
    <xf numFmtId="0" fontId="49" fillId="11" borderId="0" xfId="0" applyFont="1" applyFill="1" applyBorder="1" applyAlignment="1">
      <alignment horizontal="left"/>
    </xf>
    <xf numFmtId="169" fontId="12" fillId="11" borderId="0" xfId="36" applyFont="1" applyFill="1" applyBorder="1"/>
    <xf numFmtId="169" fontId="49" fillId="11" borderId="0" xfId="36" applyFont="1" applyFill="1" applyBorder="1"/>
    <xf numFmtId="0" fontId="12" fillId="11" borderId="28" xfId="37" applyFont="1" applyFill="1" applyBorder="1"/>
    <xf numFmtId="43" fontId="12" fillId="11" borderId="29" xfId="38" applyFont="1" applyFill="1" applyBorder="1"/>
    <xf numFmtId="0" fontId="12" fillId="11" borderId="29" xfId="37" applyFont="1" applyFill="1" applyBorder="1" applyAlignment="1">
      <alignment horizontal="center"/>
    </xf>
    <xf numFmtId="39" fontId="12" fillId="11" borderId="29" xfId="37" applyNumberFormat="1" applyFont="1" applyFill="1" applyBorder="1"/>
    <xf numFmtId="39" fontId="12" fillId="11" borderId="38" xfId="37" applyNumberFormat="1" applyFont="1" applyFill="1" applyBorder="1"/>
    <xf numFmtId="0" fontId="12" fillId="11" borderId="35" xfId="37" applyFont="1" applyFill="1" applyBorder="1"/>
    <xf numFmtId="43" fontId="12" fillId="11" borderId="36" xfId="38" applyFont="1" applyFill="1" applyBorder="1"/>
    <xf numFmtId="0" fontId="12" fillId="11" borderId="36" xfId="37" applyFont="1" applyFill="1" applyBorder="1" applyAlignment="1">
      <alignment horizontal="center"/>
    </xf>
    <xf numFmtId="39" fontId="12" fillId="11" borderId="36" xfId="37" applyNumberFormat="1" applyFont="1" applyFill="1" applyBorder="1"/>
    <xf numFmtId="39" fontId="12" fillId="11" borderId="39" xfId="37" applyNumberFormat="1" applyFont="1" applyFill="1" applyBorder="1"/>
    <xf numFmtId="0" fontId="12" fillId="11" borderId="0" xfId="37" applyFont="1" applyFill="1" applyBorder="1"/>
    <xf numFmtId="43" fontId="12" fillId="11" borderId="0" xfId="38" applyFont="1" applyFill="1" applyBorder="1"/>
    <xf numFmtId="0" fontId="50" fillId="3" borderId="1" xfId="21" applyFont="1" applyFill="1" applyBorder="1" applyAlignment="1">
      <alignment horizontal="center"/>
    </xf>
    <xf numFmtId="0" fontId="24" fillId="3" borderId="1" xfId="21" applyFont="1" applyFill="1" applyBorder="1" applyAlignment="1">
      <alignment horizontal="right"/>
    </xf>
    <xf numFmtId="0" fontId="6" fillId="3" borderId="1" xfId="21" applyFont="1" applyFill="1" applyBorder="1"/>
    <xf numFmtId="4" fontId="6" fillId="3" borderId="1" xfId="21" applyNumberFormat="1" applyFont="1" applyFill="1" applyBorder="1"/>
    <xf numFmtId="0" fontId="6" fillId="3" borderId="1" xfId="21" applyFont="1" applyFill="1" applyBorder="1" applyAlignment="1">
      <alignment horizontal="center"/>
    </xf>
    <xf numFmtId="4" fontId="4" fillId="3" borderId="1" xfId="28" applyNumberFormat="1" applyFont="1" applyFill="1" applyBorder="1" applyAlignment="1">
      <alignment horizontal="right"/>
    </xf>
    <xf numFmtId="4" fontId="34" fillId="3" borderId="1" xfId="21" applyNumberFormat="1" applyFont="1" applyFill="1" applyBorder="1"/>
    <xf numFmtId="4" fontId="6" fillId="3" borderId="1" xfId="21" applyNumberFormat="1" applyFont="1" applyFill="1" applyBorder="1" applyAlignment="1">
      <alignment horizontal="center"/>
    </xf>
    <xf numFmtId="4" fontId="29" fillId="3" borderId="1" xfId="21" applyNumberFormat="1" applyFont="1" applyFill="1" applyBorder="1"/>
    <xf numFmtId="4" fontId="51" fillId="3" borderId="1" xfId="21" applyNumberFormat="1" applyFont="1" applyFill="1" applyBorder="1" applyAlignment="1">
      <alignment horizontal="right"/>
    </xf>
    <xf numFmtId="0" fontId="24" fillId="3" borderId="1" xfId="16" applyFont="1" applyFill="1" applyBorder="1"/>
    <xf numFmtId="0" fontId="6" fillId="3" borderId="1" xfId="16" applyFont="1" applyFill="1" applyBorder="1"/>
    <xf numFmtId="0" fontId="6" fillId="3" borderId="1" xfId="16" applyFont="1" applyFill="1" applyBorder="1" applyAlignment="1">
      <alignment horizontal="center"/>
    </xf>
    <xf numFmtId="4" fontId="29" fillId="3" borderId="1" xfId="16" applyNumberFormat="1" applyFont="1" applyFill="1" applyBorder="1"/>
    <xf numFmtId="0" fontId="24" fillId="3" borderId="0" xfId="21" applyFont="1" applyFill="1" applyBorder="1" applyAlignment="1"/>
    <xf numFmtId="0" fontId="6" fillId="3" borderId="0" xfId="21" applyFont="1" applyFill="1" applyBorder="1" applyAlignment="1"/>
    <xf numFmtId="4" fontId="6" fillId="3" borderId="0" xfId="21" applyNumberFormat="1" applyFont="1" applyFill="1" applyBorder="1" applyAlignment="1"/>
    <xf numFmtId="39" fontId="6" fillId="3" borderId="0" xfId="21" applyNumberFormat="1" applyFont="1" applyFill="1" applyBorder="1" applyAlignment="1"/>
    <xf numFmtId="0" fontId="18" fillId="3" borderId="0" xfId="21" applyFont="1" applyFill="1" applyAlignment="1">
      <alignment horizontal="right"/>
    </xf>
    <xf numFmtId="0" fontId="8" fillId="3" borderId="0" xfId="21" applyFont="1" applyFill="1"/>
    <xf numFmtId="4" fontId="8" fillId="3" borderId="0" xfId="21" applyNumberFormat="1" applyFont="1" applyFill="1"/>
    <xf numFmtId="0" fontId="3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24" fillId="3" borderId="1" xfId="16" applyFont="1" applyFill="1" applyBorder="1" applyAlignment="1">
      <alignment wrapText="1"/>
    </xf>
    <xf numFmtId="0" fontId="24" fillId="3" borderId="1" xfId="21" applyFont="1" applyFill="1" applyBorder="1"/>
    <xf numFmtId="4" fontId="40" fillId="3" borderId="1" xfId="21" applyNumberFormat="1" applyFont="1" applyFill="1" applyBorder="1"/>
    <xf numFmtId="2" fontId="6" fillId="3" borderId="1" xfId="21" applyNumberFormat="1" applyFont="1" applyFill="1" applyBorder="1"/>
    <xf numFmtId="4" fontId="6" fillId="3" borderId="1" xfId="21" applyNumberFormat="1" applyFont="1" applyFill="1" applyBorder="1" applyAlignment="1">
      <alignment horizontal="right"/>
    </xf>
    <xf numFmtId="0" fontId="4" fillId="3" borderId="1" xfId="21" applyFont="1" applyFill="1" applyBorder="1"/>
    <xf numFmtId="2" fontId="4" fillId="3" borderId="1" xfId="21" applyNumberFormat="1" applyFont="1" applyFill="1" applyBorder="1" applyAlignment="1">
      <alignment horizontal="right"/>
    </xf>
    <xf numFmtId="0" fontId="4" fillId="3" borderId="1" xfId="21" applyFont="1" applyFill="1" applyBorder="1" applyAlignment="1">
      <alignment horizontal="center"/>
    </xf>
    <xf numFmtId="4" fontId="4" fillId="3" borderId="1" xfId="21" applyNumberFormat="1" applyFont="1" applyFill="1" applyBorder="1" applyAlignment="1">
      <alignment horizontal="right"/>
    </xf>
    <xf numFmtId="0" fontId="6" fillId="3" borderId="1" xfId="16" applyFont="1" applyFill="1" applyBorder="1" applyAlignment="1">
      <alignment horizontal="left"/>
    </xf>
    <xf numFmtId="2" fontId="4" fillId="3" borderId="1" xfId="21" applyNumberFormat="1" applyFont="1" applyFill="1" applyBorder="1"/>
    <xf numFmtId="4" fontId="4" fillId="3" borderId="1" xfId="21" applyNumberFormat="1" applyFont="1" applyFill="1" applyBorder="1"/>
    <xf numFmtId="4" fontId="4" fillId="3" borderId="1" xfId="21" applyNumberFormat="1" applyFont="1" applyFill="1" applyBorder="1" applyAlignment="1">
      <alignment wrapText="1"/>
    </xf>
    <xf numFmtId="4" fontId="3" fillId="3" borderId="1" xfId="21" applyNumberFormat="1" applyFont="1" applyFill="1" applyBorder="1" applyAlignment="1">
      <alignment horizontal="right" vertical="center"/>
    </xf>
    <xf numFmtId="0" fontId="24" fillId="3" borderId="1" xfId="16" applyFont="1" applyFill="1" applyBorder="1" applyAlignment="1">
      <alignment horizontal="left"/>
    </xf>
    <xf numFmtId="4" fontId="3" fillId="3" borderId="1" xfId="21" applyNumberFormat="1" applyFont="1" applyFill="1" applyBorder="1"/>
    <xf numFmtId="0" fontId="3" fillId="3" borderId="1" xfId="21" applyFont="1" applyFill="1" applyBorder="1"/>
    <xf numFmtId="2" fontId="3" fillId="3" borderId="1" xfId="21" applyNumberFormat="1" applyFont="1" applyFill="1" applyBorder="1"/>
    <xf numFmtId="0" fontId="3" fillId="3" borderId="1" xfId="21" applyFont="1" applyFill="1" applyBorder="1" applyAlignment="1">
      <alignment horizontal="right"/>
    </xf>
    <xf numFmtId="178" fontId="4" fillId="3" borderId="1" xfId="21" applyNumberFormat="1" applyFont="1" applyFill="1" applyBorder="1"/>
    <xf numFmtId="0" fontId="4" fillId="3" borderId="1" xfId="21" applyFont="1" applyFill="1" applyBorder="1" applyAlignment="1">
      <alignment wrapText="1"/>
    </xf>
    <xf numFmtId="178" fontId="3" fillId="3" borderId="1" xfId="21" applyNumberFormat="1" applyFont="1" applyFill="1" applyBorder="1"/>
    <xf numFmtId="0" fontId="3" fillId="3" borderId="1" xfId="21" applyFont="1" applyFill="1" applyBorder="1" applyAlignment="1">
      <alignment horizontal="center"/>
    </xf>
    <xf numFmtId="0" fontId="3" fillId="3" borderId="1" xfId="21" applyFont="1" applyFill="1" applyBorder="1" applyAlignment="1">
      <alignment wrapText="1"/>
    </xf>
    <xf numFmtId="0" fontId="39" fillId="0" borderId="0" xfId="19" applyFont="1" applyFill="1"/>
    <xf numFmtId="0" fontId="39" fillId="3" borderId="1" xfId="19" applyFont="1" applyFill="1" applyBorder="1"/>
    <xf numFmtId="4" fontId="39" fillId="3" borderId="1" xfId="19" applyNumberFormat="1" applyFont="1" applyFill="1" applyBorder="1"/>
    <xf numFmtId="0" fontId="39" fillId="0" borderId="1" xfId="19" applyFont="1" applyFill="1" applyBorder="1"/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3" fillId="3" borderId="1" xfId="19" applyFont="1" applyFill="1" applyBorder="1"/>
    <xf numFmtId="4" fontId="39" fillId="3" borderId="18" xfId="19" applyNumberFormat="1" applyFont="1" applyFill="1" applyBorder="1"/>
    <xf numFmtId="2" fontId="3" fillId="0" borderId="1" xfId="0" applyNumberFormat="1" applyFont="1" applyBorder="1"/>
    <xf numFmtId="4" fontId="43" fillId="3" borderId="1" xfId="19" applyNumberFormat="1" applyFont="1" applyFill="1" applyBorder="1"/>
    <xf numFmtId="0" fontId="6" fillId="3" borderId="0" xfId="19" applyFont="1" applyFill="1" applyBorder="1" applyAlignment="1">
      <alignment vertical="top"/>
    </xf>
    <xf numFmtId="4" fontId="6" fillId="3" borderId="0" xfId="19" applyNumberFormat="1" applyFont="1" applyFill="1" applyBorder="1" applyAlignment="1">
      <alignment vertical="top"/>
    </xf>
    <xf numFmtId="4" fontId="40" fillId="3" borderId="0" xfId="19" applyNumberFormat="1" applyFont="1" applyFill="1" applyBorder="1" applyAlignment="1">
      <alignment vertical="top"/>
    </xf>
    <xf numFmtId="0" fontId="3" fillId="5" borderId="0" xfId="0" applyFont="1" applyFill="1"/>
    <xf numFmtId="0" fontId="0" fillId="0" borderId="0" xfId="0"/>
    <xf numFmtId="0" fontId="3" fillId="7" borderId="0" xfId="0" applyFont="1" applyFill="1" applyAlignment="1">
      <alignment vertical="top" wrapText="1"/>
    </xf>
    <xf numFmtId="168" fontId="8" fillId="5" borderId="5" xfId="0" applyNumberFormat="1" applyFont="1" applyFill="1" applyBorder="1" applyAlignment="1">
      <alignment horizontal="center"/>
    </xf>
    <xf numFmtId="0" fontId="6" fillId="3" borderId="0" xfId="21" applyFont="1" applyFill="1"/>
    <xf numFmtId="4" fontId="6" fillId="3" borderId="0" xfId="21" applyNumberFormat="1" applyFont="1" applyFill="1"/>
    <xf numFmtId="0" fontId="34" fillId="3" borderId="0" xfId="21" applyFont="1" applyFill="1" applyBorder="1"/>
    <xf numFmtId="0" fontId="49" fillId="0" borderId="0" xfId="0" applyFont="1" applyFill="1" applyBorder="1" applyAlignment="1">
      <alignment horizontal="left"/>
    </xf>
    <xf numFmtId="169" fontId="12" fillId="0" borderId="0" xfId="36" applyFont="1" applyFill="1" applyBorder="1"/>
    <xf numFmtId="169" fontId="49" fillId="0" borderId="0" xfId="36" applyFont="1" applyFill="1" applyBorder="1"/>
    <xf numFmtId="0" fontId="12" fillId="0" borderId="28" xfId="0" applyFont="1" applyFill="1" applyBorder="1" applyAlignment="1">
      <alignment horizontal="left"/>
    </xf>
    <xf numFmtId="169" fontId="12" fillId="0" borderId="29" xfId="36" applyFont="1" applyFill="1" applyBorder="1"/>
    <xf numFmtId="169" fontId="12" fillId="0" borderId="29" xfId="36" applyFont="1" applyFill="1" applyBorder="1" applyAlignment="1">
      <alignment horizontal="centerContinuous"/>
    </xf>
    <xf numFmtId="169" fontId="12" fillId="0" borderId="38" xfId="36" applyFont="1" applyFill="1" applyBorder="1"/>
    <xf numFmtId="0" fontId="12" fillId="0" borderId="34" xfId="0" applyFont="1" applyFill="1" applyBorder="1" applyAlignment="1">
      <alignment horizontal="left"/>
    </xf>
    <xf numFmtId="169" fontId="12" fillId="0" borderId="1" xfId="36" applyFont="1" applyFill="1" applyBorder="1"/>
    <xf numFmtId="169" fontId="12" fillId="0" borderId="1" xfId="36" applyFont="1" applyFill="1" applyBorder="1" applyAlignment="1">
      <alignment horizontal="centerContinuous"/>
    </xf>
    <xf numFmtId="169" fontId="12" fillId="0" borderId="33" xfId="36" applyFont="1" applyFill="1" applyBorder="1"/>
    <xf numFmtId="0" fontId="12" fillId="0" borderId="35" xfId="0" applyFont="1" applyFill="1" applyBorder="1" applyAlignment="1">
      <alignment horizontal="left"/>
    </xf>
    <xf numFmtId="169" fontId="12" fillId="0" borderId="36" xfId="36" applyFont="1" applyFill="1" applyBorder="1"/>
    <xf numFmtId="169" fontId="49" fillId="0" borderId="36" xfId="36" applyFont="1" applyFill="1" applyBorder="1" applyAlignment="1">
      <alignment horizontal="right"/>
    </xf>
    <xf numFmtId="39" fontId="49" fillId="0" borderId="62" xfId="21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9" fontId="12" fillId="0" borderId="1" xfId="36" applyFont="1" applyFill="1" applyBorder="1" applyAlignment="1">
      <alignment horizontal="center"/>
    </xf>
    <xf numFmtId="169" fontId="49" fillId="0" borderId="0" xfId="36" applyFont="1" applyFill="1" applyBorder="1" applyAlignment="1">
      <alignment horizontal="right"/>
    </xf>
    <xf numFmtId="0" fontId="52" fillId="0" borderId="0" xfId="0" applyFont="1" applyFill="1" applyBorder="1" applyAlignment="1">
      <alignment horizontal="left"/>
    </xf>
    <xf numFmtId="43" fontId="12" fillId="0" borderId="0" xfId="1" applyFont="1" applyFill="1" applyBorder="1"/>
    <xf numFmtId="43" fontId="49" fillId="0" borderId="0" xfId="1" applyFont="1" applyFill="1" applyBorder="1" applyAlignment="1">
      <alignment horizontal="right"/>
    </xf>
    <xf numFmtId="43" fontId="12" fillId="0" borderId="29" xfId="1" applyFont="1" applyFill="1" applyBorder="1"/>
    <xf numFmtId="43" fontId="12" fillId="0" borderId="50" xfId="1" applyFont="1" applyFill="1" applyBorder="1" applyAlignment="1">
      <alignment horizontal="centerContinuous"/>
    </xf>
    <xf numFmtId="43" fontId="12" fillId="0" borderId="33" xfId="1" applyFont="1" applyFill="1" applyBorder="1"/>
    <xf numFmtId="0" fontId="12" fillId="0" borderId="32" xfId="0" applyFont="1" applyFill="1" applyBorder="1" applyAlignment="1">
      <alignment horizontal="left"/>
    </xf>
    <xf numFmtId="43" fontId="12" fillId="0" borderId="5" xfId="1" applyFont="1" applyFill="1" applyBorder="1"/>
    <xf numFmtId="43" fontId="12" fillId="0" borderId="4" xfId="1" applyFont="1" applyFill="1" applyBorder="1" applyAlignment="1">
      <alignment horizontal="centerContinuous"/>
    </xf>
    <xf numFmtId="43" fontId="12" fillId="0" borderId="2" xfId="1" applyFont="1" applyFill="1" applyBorder="1"/>
    <xf numFmtId="43" fontId="12" fillId="0" borderId="1" xfId="1" applyFont="1" applyFill="1" applyBorder="1"/>
    <xf numFmtId="43" fontId="12" fillId="0" borderId="5" xfId="1" applyFont="1" applyFill="1" applyBorder="1" applyAlignment="1">
      <alignment horizontal="centerContinuous"/>
    </xf>
    <xf numFmtId="43" fontId="12" fillId="0" borderId="1" xfId="1" applyFont="1" applyFill="1" applyBorder="1" applyAlignment="1">
      <alignment horizontal="centerContinuous"/>
    </xf>
    <xf numFmtId="0" fontId="12" fillId="0" borderId="46" xfId="0" applyFont="1" applyFill="1" applyBorder="1" applyAlignment="1">
      <alignment horizontal="left"/>
    </xf>
    <xf numFmtId="0" fontId="49" fillId="0" borderId="46" xfId="0" applyFont="1" applyFill="1" applyBorder="1" applyAlignment="1">
      <alignment horizontal="left"/>
    </xf>
    <xf numFmtId="43" fontId="12" fillId="0" borderId="1" xfId="1" applyFont="1" applyFill="1" applyBorder="1" applyAlignment="1">
      <alignment horizontal="center"/>
    </xf>
    <xf numFmtId="43" fontId="12" fillId="0" borderId="3" xfId="1" applyFont="1" applyFill="1" applyBorder="1"/>
    <xf numFmtId="43" fontId="12" fillId="0" borderId="3" xfId="1" applyFont="1" applyFill="1" applyBorder="1" applyAlignment="1">
      <alignment horizontal="center"/>
    </xf>
    <xf numFmtId="43" fontId="12" fillId="0" borderId="47" xfId="1" applyFont="1" applyFill="1" applyBorder="1"/>
    <xf numFmtId="0" fontId="12" fillId="0" borderId="52" xfId="0" applyFont="1" applyFill="1" applyBorder="1" applyAlignment="1">
      <alignment horizontal="left"/>
    </xf>
    <xf numFmtId="43" fontId="12" fillId="0" borderId="53" xfId="1" applyFont="1" applyFill="1" applyBorder="1"/>
    <xf numFmtId="43" fontId="49" fillId="0" borderId="53" xfId="1" applyFont="1" applyFill="1" applyBorder="1" applyAlignment="1">
      <alignment horizontal="right"/>
    </xf>
    <xf numFmtId="43" fontId="49" fillId="0" borderId="54" xfId="1" applyFont="1" applyFill="1" applyBorder="1" applyAlignment="1">
      <alignment horizontal="right"/>
    </xf>
    <xf numFmtId="43" fontId="12" fillId="0" borderId="0" xfId="1" applyFont="1" applyFill="1" applyBorder="1" applyAlignment="1">
      <alignment horizontal="centerContinuous"/>
    </xf>
    <xf numFmtId="39" fontId="49" fillId="0" borderId="0" xfId="21" applyNumberFormat="1" applyFont="1" applyFill="1" applyBorder="1" applyAlignment="1">
      <alignment horizontal="right"/>
    </xf>
    <xf numFmtId="0" fontId="49" fillId="17" borderId="0" xfId="0" applyFont="1" applyFill="1" applyBorder="1" applyAlignment="1">
      <alignment horizontal="left"/>
    </xf>
    <xf numFmtId="0" fontId="25" fillId="2" borderId="0" xfId="19" applyFont="1" applyFill="1" applyAlignment="1">
      <alignment horizontal="center"/>
    </xf>
    <xf numFmtId="0" fontId="3" fillId="5" borderId="0" xfId="21" applyFont="1" applyFill="1" applyBorder="1"/>
    <xf numFmtId="0" fontId="3" fillId="3" borderId="0" xfId="21" applyFont="1" applyFill="1" applyBorder="1"/>
    <xf numFmtId="0" fontId="4" fillId="3" borderId="28" xfId="21" applyFont="1" applyFill="1" applyBorder="1"/>
    <xf numFmtId="0" fontId="4" fillId="3" borderId="29" xfId="21" applyFont="1" applyFill="1" applyBorder="1"/>
    <xf numFmtId="0" fontId="4" fillId="3" borderId="29" xfId="21" applyFont="1" applyFill="1" applyBorder="1" applyAlignment="1">
      <alignment horizontal="centerContinuous"/>
    </xf>
    <xf numFmtId="39" fontId="4" fillId="3" borderId="29" xfId="21" applyNumberFormat="1" applyFont="1" applyFill="1" applyBorder="1"/>
    <xf numFmtId="39" fontId="4" fillId="3" borderId="38" xfId="21" applyNumberFormat="1" applyFont="1" applyFill="1" applyBorder="1"/>
    <xf numFmtId="0" fontId="4" fillId="3" borderId="34" xfId="21" applyFont="1" applyFill="1" applyBorder="1"/>
    <xf numFmtId="0" fontId="4" fillId="3" borderId="1" xfId="21" applyFont="1" applyFill="1" applyBorder="1" applyAlignment="1">
      <alignment horizontal="centerContinuous"/>
    </xf>
    <xf numFmtId="39" fontId="4" fillId="3" borderId="1" xfId="21" applyNumberFormat="1" applyFont="1" applyFill="1" applyBorder="1"/>
    <xf numFmtId="39" fontId="4" fillId="3" borderId="33" xfId="21" applyNumberFormat="1" applyFont="1" applyFill="1" applyBorder="1"/>
    <xf numFmtId="0" fontId="4" fillId="3" borderId="35" xfId="21" applyFont="1" applyFill="1" applyBorder="1"/>
    <xf numFmtId="0" fontId="4" fillId="3" borderId="36" xfId="21" applyFont="1" applyFill="1" applyBorder="1"/>
    <xf numFmtId="0" fontId="3" fillId="3" borderId="36" xfId="21" applyFont="1" applyFill="1" applyBorder="1" applyAlignment="1">
      <alignment horizontal="right"/>
    </xf>
    <xf numFmtId="39" fontId="3" fillId="3" borderId="39" xfId="21" applyNumberFormat="1" applyFont="1" applyFill="1" applyBorder="1" applyAlignment="1">
      <alignment horizontal="right"/>
    </xf>
    <xf numFmtId="0" fontId="3" fillId="3" borderId="0" xfId="21" applyFont="1" applyFill="1" applyBorder="1" applyAlignment="1">
      <alignment horizontal="centerContinuous"/>
    </xf>
    <xf numFmtId="0" fontId="3" fillId="9" borderId="0" xfId="21" applyFont="1" applyFill="1" applyBorder="1"/>
    <xf numFmtId="0" fontId="3" fillId="3" borderId="0" xfId="21" applyFont="1" applyFill="1" applyBorder="1" applyAlignment="1"/>
    <xf numFmtId="0" fontId="4" fillId="3" borderId="0" xfId="21" applyFont="1" applyFill="1"/>
    <xf numFmtId="0" fontId="4" fillId="0" borderId="0" xfId="21" applyFont="1" applyFill="1" applyBorder="1"/>
    <xf numFmtId="0" fontId="4" fillId="0" borderId="28" xfId="21" applyFont="1" applyFill="1" applyBorder="1"/>
    <xf numFmtId="0" fontId="4" fillId="0" borderId="29" xfId="21" applyFont="1" applyFill="1" applyBorder="1"/>
    <xf numFmtId="0" fontId="4" fillId="0" borderId="29" xfId="21" applyFont="1" applyFill="1" applyBorder="1" applyAlignment="1">
      <alignment horizontal="centerContinuous"/>
    </xf>
    <xf numFmtId="39" fontId="4" fillId="0" borderId="29" xfId="21" applyNumberFormat="1" applyFont="1" applyFill="1" applyBorder="1"/>
    <xf numFmtId="39" fontId="4" fillId="0" borderId="38" xfId="21" applyNumberFormat="1" applyFont="1" applyFill="1" applyBorder="1"/>
    <xf numFmtId="0" fontId="4" fillId="0" borderId="34" xfId="21" applyFont="1" applyFill="1" applyBorder="1"/>
    <xf numFmtId="2" fontId="4" fillId="0" borderId="1" xfId="21" applyNumberFormat="1" applyFont="1" applyFill="1" applyBorder="1"/>
    <xf numFmtId="0" fontId="4" fillId="0" borderId="1" xfId="21" applyFont="1" applyFill="1" applyBorder="1" applyAlignment="1">
      <alignment horizontal="center"/>
    </xf>
    <xf numFmtId="39" fontId="4" fillId="0" borderId="1" xfId="21" applyNumberFormat="1" applyFont="1" applyFill="1" applyBorder="1"/>
    <xf numFmtId="39" fontId="4" fillId="0" borderId="33" xfId="21" applyNumberFormat="1" applyFont="1" applyFill="1" applyBorder="1"/>
    <xf numFmtId="0" fontId="4" fillId="0" borderId="35" xfId="21" applyFont="1" applyFill="1" applyBorder="1"/>
    <xf numFmtId="0" fontId="4" fillId="0" borderId="36" xfId="21" applyFont="1" applyFill="1" applyBorder="1"/>
    <xf numFmtId="39" fontId="3" fillId="0" borderId="39" xfId="21" applyNumberFormat="1" applyFont="1" applyFill="1" applyBorder="1" applyAlignment="1">
      <alignment horizontal="right"/>
    </xf>
    <xf numFmtId="0" fontId="3" fillId="0" borderId="0" xfId="21" applyFont="1" applyFill="1" applyBorder="1" applyAlignment="1">
      <alignment horizontal="centerContinuous"/>
    </xf>
    <xf numFmtId="0" fontId="0" fillId="3" borderId="1" xfId="0" applyFill="1" applyBorder="1"/>
    <xf numFmtId="39" fontId="4" fillId="3" borderId="1" xfId="41" applyNumberFormat="1" applyFont="1" applyFill="1" applyBorder="1"/>
    <xf numFmtId="0" fontId="4" fillId="5" borderId="4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/>
    </xf>
    <xf numFmtId="0" fontId="0" fillId="0" borderId="0" xfId="0"/>
    <xf numFmtId="0" fontId="16" fillId="3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169" fontId="6" fillId="16" borderId="1" xfId="29" applyFont="1" applyFill="1" applyBorder="1" applyAlignment="1"/>
    <xf numFmtId="4" fontId="6" fillId="16" borderId="1" xfId="29" quotePrefix="1" applyNumberFormat="1" applyFont="1" applyFill="1" applyBorder="1" applyAlignment="1"/>
    <xf numFmtId="0" fontId="4" fillId="2" borderId="0" xfId="0" applyFont="1" applyFill="1"/>
    <xf numFmtId="0" fontId="4" fillId="5" borderId="4" xfId="6" applyFont="1" applyFill="1" applyBorder="1" applyAlignment="1">
      <alignment horizontal="left" vertical="justify" wrapText="1"/>
    </xf>
    <xf numFmtId="0" fontId="34" fillId="5" borderId="0" xfId="19" applyFont="1" applyFill="1"/>
    <xf numFmtId="0" fontId="33" fillId="5" borderId="0" xfId="19" applyFont="1" applyFill="1"/>
    <xf numFmtId="4" fontId="33" fillId="5" borderId="0" xfId="19" applyNumberFormat="1" applyFont="1" applyFill="1"/>
    <xf numFmtId="0" fontId="10" fillId="5" borderId="28" xfId="19" applyFont="1" applyFill="1" applyBorder="1"/>
    <xf numFmtId="0" fontId="10" fillId="5" borderId="29" xfId="19" applyFont="1" applyFill="1" applyBorder="1"/>
    <xf numFmtId="0" fontId="10" fillId="5" borderId="29" xfId="19" applyFont="1" applyFill="1" applyBorder="1" applyAlignment="1">
      <alignment horizontal="centerContinuous"/>
    </xf>
    <xf numFmtId="4" fontId="10" fillId="5" borderId="29" xfId="19" applyNumberFormat="1" applyFont="1" applyFill="1" applyBorder="1"/>
    <xf numFmtId="4" fontId="6" fillId="5" borderId="38" xfId="20" applyNumberFormat="1" applyFont="1" applyFill="1" applyBorder="1"/>
    <xf numFmtId="0" fontId="10" fillId="5" borderId="34" xfId="19" applyFont="1" applyFill="1" applyBorder="1"/>
    <xf numFmtId="2" fontId="10" fillId="5" borderId="1" xfId="19" applyNumberFormat="1" applyFont="1" applyFill="1" applyBorder="1"/>
    <xf numFmtId="0" fontId="10" fillId="5" borderId="1" xfId="19" applyFont="1" applyFill="1" applyBorder="1" applyAlignment="1">
      <alignment horizontal="centerContinuous"/>
    </xf>
    <xf numFmtId="4" fontId="10" fillId="5" borderId="1" xfId="19" applyNumberFormat="1" applyFont="1" applyFill="1" applyBorder="1"/>
    <xf numFmtId="4" fontId="6" fillId="5" borderId="33" xfId="20" applyNumberFormat="1" applyFont="1" applyFill="1" applyBorder="1"/>
    <xf numFmtId="0" fontId="10" fillId="5" borderId="46" xfId="19" applyFont="1" applyFill="1" applyBorder="1"/>
    <xf numFmtId="2" fontId="10" fillId="5" borderId="3" xfId="19" applyNumberFormat="1" applyFont="1" applyFill="1" applyBorder="1"/>
    <xf numFmtId="0" fontId="10" fillId="5" borderId="3" xfId="19" applyFont="1" applyFill="1" applyBorder="1" applyAlignment="1">
      <alignment horizontal="centerContinuous"/>
    </xf>
    <xf numFmtId="4" fontId="10" fillId="5" borderId="3" xfId="19" applyNumberFormat="1" applyFont="1" applyFill="1" applyBorder="1"/>
    <xf numFmtId="0" fontId="10" fillId="5" borderId="35" xfId="19" applyFont="1" applyFill="1" applyBorder="1"/>
    <xf numFmtId="0" fontId="10" fillId="5" borderId="36" xfId="19" applyFont="1" applyFill="1" applyBorder="1"/>
    <xf numFmtId="4" fontId="3" fillId="5" borderId="36" xfId="28" applyNumberFormat="1" applyFont="1" applyFill="1" applyBorder="1" applyAlignment="1">
      <alignment horizontal="right"/>
    </xf>
    <xf numFmtId="4" fontId="34" fillId="5" borderId="39" xfId="19" applyNumberFormat="1" applyFont="1" applyFill="1" applyBorder="1" applyAlignment="1">
      <alignment horizontal="right"/>
    </xf>
    <xf numFmtId="0" fontId="34" fillId="5" borderId="0" xfId="19" applyFont="1" applyFill="1" applyBorder="1"/>
    <xf numFmtId="0" fontId="34" fillId="16" borderId="15" xfId="21" applyFont="1" applyFill="1" applyBorder="1"/>
    <xf numFmtId="0" fontId="10" fillId="16" borderId="3" xfId="21" applyFont="1" applyFill="1" applyBorder="1"/>
    <xf numFmtId="0" fontId="10" fillId="16" borderId="3" xfId="21" applyFont="1" applyFill="1" applyBorder="1" applyAlignment="1">
      <alignment horizontal="center"/>
    </xf>
    <xf numFmtId="0" fontId="34" fillId="16" borderId="3" xfId="21" applyFont="1" applyFill="1" applyBorder="1" applyAlignment="1">
      <alignment horizontal="right"/>
    </xf>
    <xf numFmtId="4" fontId="34" fillId="16" borderId="14" xfId="21" applyNumberFormat="1" applyFont="1" applyFill="1" applyBorder="1" applyAlignment="1">
      <alignment horizontal="right"/>
    </xf>
    <xf numFmtId="0" fontId="3" fillId="16" borderId="1" xfId="0" applyFont="1" applyFill="1" applyBorder="1"/>
    <xf numFmtId="0" fontId="0" fillId="16" borderId="1" xfId="0" applyFill="1" applyBorder="1"/>
    <xf numFmtId="4" fontId="0" fillId="16" borderId="1" xfId="0" applyNumberFormat="1" applyFill="1" applyBorder="1"/>
    <xf numFmtId="4" fontId="0" fillId="16" borderId="1" xfId="0" applyNumberFormat="1" applyFill="1" applyBorder="1" applyAlignment="1">
      <alignment horizontal="center"/>
    </xf>
    <xf numFmtId="4" fontId="4" fillId="16" borderId="1" xfId="0" applyNumberFormat="1" applyFont="1" applyFill="1" applyBorder="1" applyAlignment="1">
      <alignment horizontal="center"/>
    </xf>
    <xf numFmtId="4" fontId="3" fillId="16" borderId="1" xfId="0" applyNumberFormat="1" applyFont="1" applyFill="1" applyBorder="1"/>
    <xf numFmtId="0" fontId="44" fillId="16" borderId="0" xfId="0" applyFont="1" applyFill="1" applyAlignment="1">
      <alignment horizontal="center"/>
    </xf>
    <xf numFmtId="0" fontId="3" fillId="16" borderId="0" xfId="0" applyFont="1" applyFill="1" applyAlignment="1">
      <alignment horizontal="right"/>
    </xf>
    <xf numFmtId="2" fontId="3" fillId="16" borderId="0" xfId="0" applyNumberFormat="1" applyFont="1" applyFill="1" applyAlignment="1">
      <alignment horizontal="center"/>
    </xf>
    <xf numFmtId="0" fontId="4" fillId="16" borderId="0" xfId="0" applyFont="1" applyFill="1"/>
    <xf numFmtId="0" fontId="3" fillId="16" borderId="1" xfId="0" applyFont="1" applyFill="1" applyBorder="1" applyAlignment="1">
      <alignment horizontal="left"/>
    </xf>
    <xf numFmtId="2" fontId="3" fillId="16" borderId="1" xfId="0" applyNumberFormat="1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Continuous"/>
    </xf>
    <xf numFmtId="39" fontId="4" fillId="16" borderId="1" xfId="21" applyNumberFormat="1" applyFont="1" applyFill="1" applyBorder="1" applyAlignment="1">
      <alignment wrapText="1"/>
    </xf>
    <xf numFmtId="39" fontId="4" fillId="16" borderId="1" xfId="0" applyNumberFormat="1" applyFont="1" applyFill="1" applyBorder="1" applyAlignment="1">
      <alignment wrapText="1"/>
    </xf>
    <xf numFmtId="0" fontId="3" fillId="16" borderId="1" xfId="0" applyFont="1" applyFill="1" applyBorder="1" applyAlignment="1">
      <alignment horizontal="right"/>
    </xf>
    <xf numFmtId="39" fontId="3" fillId="16" borderId="1" xfId="0" applyNumberFormat="1" applyFont="1" applyFill="1" applyBorder="1" applyAlignment="1">
      <alignment horizontal="right" wrapText="1"/>
    </xf>
    <xf numFmtId="0" fontId="4" fillId="16" borderId="0" xfId="0" applyFont="1" applyFill="1" applyBorder="1"/>
    <xf numFmtId="0" fontId="3" fillId="16" borderId="0" xfId="0" applyFont="1" applyFill="1" applyBorder="1" applyAlignment="1">
      <alignment horizontal="right"/>
    </xf>
    <xf numFmtId="39" fontId="3" fillId="16" borderId="0" xfId="0" applyNumberFormat="1" applyFont="1" applyFill="1" applyBorder="1" applyAlignment="1">
      <alignment horizontal="right" wrapText="1"/>
    </xf>
    <xf numFmtId="0" fontId="4" fillId="16" borderId="1" xfId="0" applyFont="1" applyFill="1" applyBorder="1" applyAlignment="1">
      <alignment wrapText="1"/>
    </xf>
    <xf numFmtId="4" fontId="9" fillId="16" borderId="1" xfId="0" applyNumberFormat="1" applyFont="1" applyFill="1" applyBorder="1" applyAlignment="1" applyProtection="1">
      <alignment horizontal="right" vertical="center"/>
    </xf>
    <xf numFmtId="39" fontId="4" fillId="16" borderId="1" xfId="21" applyNumberFormat="1" applyFont="1" applyFill="1" applyBorder="1" applyAlignment="1">
      <alignment horizontal="right" wrapText="1"/>
    </xf>
    <xf numFmtId="2" fontId="4" fillId="16" borderId="1" xfId="21" applyNumberFormat="1" applyFont="1" applyFill="1" applyBorder="1"/>
    <xf numFmtId="0" fontId="3" fillId="16" borderId="1" xfId="0" applyFont="1" applyFill="1" applyBorder="1" applyAlignment="1"/>
    <xf numFmtId="39" fontId="3" fillId="16" borderId="1" xfId="0" applyNumberFormat="1" applyFont="1" applyFill="1" applyBorder="1" applyAlignment="1">
      <alignment horizontal="right"/>
    </xf>
    <xf numFmtId="193" fontId="0" fillId="3" borderId="0" xfId="0" applyNumberFormat="1" applyFill="1"/>
    <xf numFmtId="0" fontId="3" fillId="2" borderId="0" xfId="21" applyFont="1" applyFill="1" applyBorder="1"/>
    <xf numFmtId="0" fontId="4" fillId="2" borderId="0" xfId="21" applyFont="1" applyFill="1" applyBorder="1"/>
    <xf numFmtId="0" fontId="3" fillId="2" borderId="0" xfId="21" applyFont="1" applyFill="1" applyBorder="1" applyAlignment="1">
      <alignment horizontal="right"/>
    </xf>
    <xf numFmtId="39" fontId="3" fillId="2" borderId="0" xfId="21" applyNumberFormat="1" applyFont="1" applyFill="1" applyBorder="1" applyAlignment="1">
      <alignment horizontal="right"/>
    </xf>
    <xf numFmtId="0" fontId="0" fillId="0" borderId="0" xfId="0"/>
    <xf numFmtId="0" fontId="16" fillId="3" borderId="0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/>
    <xf numFmtId="0" fontId="0" fillId="2" borderId="0" xfId="0" applyFill="1"/>
    <xf numFmtId="0" fontId="4" fillId="0" borderId="0" xfId="0" applyFont="1"/>
    <xf numFmtId="0" fontId="34" fillId="9" borderId="0" xfId="19" applyFont="1" applyFill="1"/>
    <xf numFmtId="0" fontId="33" fillId="9" borderId="0" xfId="19" applyFont="1" applyFill="1"/>
    <xf numFmtId="4" fontId="33" fillId="9" borderId="0" xfId="19" applyNumberFormat="1" applyFont="1" applyFill="1"/>
    <xf numFmtId="0" fontId="10" fillId="9" borderId="28" xfId="19" applyFont="1" applyFill="1" applyBorder="1"/>
    <xf numFmtId="0" fontId="10" fillId="9" borderId="29" xfId="19" applyFont="1" applyFill="1" applyBorder="1"/>
    <xf numFmtId="0" fontId="10" fillId="9" borderId="29" xfId="19" applyFont="1" applyFill="1" applyBorder="1" applyAlignment="1">
      <alignment horizontal="centerContinuous"/>
    </xf>
    <xf numFmtId="4" fontId="10" fillId="9" borderId="29" xfId="19" applyNumberFormat="1" applyFont="1" applyFill="1" applyBorder="1"/>
    <xf numFmtId="4" fontId="6" fillId="9" borderId="38" xfId="20" applyNumberFormat="1" applyFont="1" applyFill="1" applyBorder="1"/>
    <xf numFmtId="0" fontId="10" fillId="9" borderId="34" xfId="19" applyFont="1" applyFill="1" applyBorder="1"/>
    <xf numFmtId="2" fontId="10" fillId="9" borderId="1" xfId="19" applyNumberFormat="1" applyFont="1" applyFill="1" applyBorder="1"/>
    <xf numFmtId="0" fontId="10" fillId="9" borderId="1" xfId="19" applyFont="1" applyFill="1" applyBorder="1" applyAlignment="1">
      <alignment horizontal="centerContinuous"/>
    </xf>
    <xf numFmtId="4" fontId="10" fillId="9" borderId="1" xfId="19" applyNumberFormat="1" applyFont="1" applyFill="1" applyBorder="1"/>
    <xf numFmtId="4" fontId="6" fillId="9" borderId="33" xfId="20" applyNumberFormat="1" applyFont="1" applyFill="1" applyBorder="1"/>
    <xf numFmtId="0" fontId="10" fillId="9" borderId="46" xfId="19" applyFont="1" applyFill="1" applyBorder="1"/>
    <xf numFmtId="2" fontId="10" fillId="9" borderId="3" xfId="19" applyNumberFormat="1" applyFont="1" applyFill="1" applyBorder="1"/>
    <xf numFmtId="0" fontId="10" fillId="9" borderId="3" xfId="19" applyFont="1" applyFill="1" applyBorder="1" applyAlignment="1">
      <alignment horizontal="centerContinuous"/>
    </xf>
    <xf numFmtId="4" fontId="10" fillId="9" borderId="3" xfId="19" applyNumberFormat="1" applyFont="1" applyFill="1" applyBorder="1"/>
    <xf numFmtId="0" fontId="10" fillId="9" borderId="35" xfId="19" applyFont="1" applyFill="1" applyBorder="1"/>
    <xf numFmtId="0" fontId="10" fillId="9" borderId="36" xfId="19" applyFont="1" applyFill="1" applyBorder="1"/>
    <xf numFmtId="4" fontId="3" fillId="9" borderId="36" xfId="28" applyNumberFormat="1" applyFont="1" applyFill="1" applyBorder="1" applyAlignment="1">
      <alignment horizontal="right"/>
    </xf>
    <xf numFmtId="4" fontId="34" fillId="9" borderId="39" xfId="19" applyNumberFormat="1" applyFont="1" applyFill="1" applyBorder="1" applyAlignment="1">
      <alignment horizontal="right"/>
    </xf>
    <xf numFmtId="0" fontId="39" fillId="9" borderId="0" xfId="19" applyFont="1" applyFill="1"/>
    <xf numFmtId="4" fontId="39" fillId="9" borderId="0" xfId="19" applyNumberFormat="1" applyFont="1" applyFill="1"/>
    <xf numFmtId="0" fontId="11" fillId="9" borderId="4" xfId="6" applyFont="1" applyFill="1" applyBorder="1" applyAlignment="1">
      <alignment horizontal="left" vertical="justify" wrapText="1"/>
    </xf>
    <xf numFmtId="0" fontId="11" fillId="9" borderId="0" xfId="19" applyFont="1" applyFill="1"/>
    <xf numFmtId="0" fontId="75" fillId="9" borderId="0" xfId="19" applyFont="1" applyFill="1"/>
    <xf numFmtId="4" fontId="75" fillId="9" borderId="0" xfId="19" applyNumberFormat="1" applyFont="1" applyFill="1"/>
    <xf numFmtId="0" fontId="22" fillId="9" borderId="28" xfId="19" applyFont="1" applyFill="1" applyBorder="1"/>
    <xf numFmtId="0" fontId="22" fillId="9" borderId="29" xfId="19" applyFont="1" applyFill="1" applyBorder="1"/>
    <xf numFmtId="0" fontId="22" fillId="9" borderId="29" xfId="19" applyFont="1" applyFill="1" applyBorder="1" applyAlignment="1">
      <alignment horizontal="centerContinuous"/>
    </xf>
    <xf numFmtId="4" fontId="22" fillId="9" borderId="29" xfId="19" applyNumberFormat="1" applyFont="1" applyFill="1" applyBorder="1"/>
    <xf numFmtId="4" fontId="22" fillId="9" borderId="38" xfId="20" applyNumberFormat="1" applyFont="1" applyFill="1" applyBorder="1"/>
    <xf numFmtId="0" fontId="22" fillId="9" borderId="34" xfId="19" applyFont="1" applyFill="1" applyBorder="1"/>
    <xf numFmtId="2" fontId="22" fillId="9" borderId="1" xfId="19" applyNumberFormat="1" applyFont="1" applyFill="1" applyBorder="1"/>
    <xf numFmtId="0" fontId="22" fillId="9" borderId="1" xfId="19" applyFont="1" applyFill="1" applyBorder="1" applyAlignment="1">
      <alignment horizontal="centerContinuous"/>
    </xf>
    <xf numFmtId="4" fontId="22" fillId="9" borderId="1" xfId="19" applyNumberFormat="1" applyFont="1" applyFill="1" applyBorder="1"/>
    <xf numFmtId="4" fontId="22" fillId="9" borderId="33" xfId="20" applyNumberFormat="1" applyFont="1" applyFill="1" applyBorder="1"/>
    <xf numFmtId="0" fontId="22" fillId="9" borderId="35" xfId="19" applyFont="1" applyFill="1" applyBorder="1"/>
    <xf numFmtId="0" fontId="22" fillId="9" borderId="36" xfId="19" applyFont="1" applyFill="1" applyBorder="1"/>
    <xf numFmtId="4" fontId="11" fillId="9" borderId="36" xfId="28" applyNumberFormat="1" applyFont="1" applyFill="1" applyBorder="1" applyAlignment="1">
      <alignment horizontal="right"/>
    </xf>
    <xf numFmtId="4" fontId="11" fillId="9" borderId="39" xfId="19" applyNumberFormat="1" applyFont="1" applyFill="1" applyBorder="1" applyAlignment="1">
      <alignment horizontal="right"/>
    </xf>
    <xf numFmtId="0" fontId="22" fillId="7" borderId="4" xfId="6" applyFont="1" applyFill="1" applyBorder="1" applyAlignment="1">
      <alignment horizontal="left" vertical="justify" wrapText="1"/>
    </xf>
    <xf numFmtId="0" fontId="22" fillId="5" borderId="4" xfId="6" applyFont="1" applyFill="1" applyBorder="1" applyAlignment="1">
      <alignment horizontal="left" vertical="justify" wrapText="1"/>
    </xf>
    <xf numFmtId="2" fontId="34" fillId="5" borderId="0" xfId="19" applyNumberFormat="1" applyFont="1" applyFill="1"/>
    <xf numFmtId="0" fontId="49" fillId="0" borderId="0" xfId="0" applyFont="1" applyFill="1" applyAlignment="1">
      <alignment horizontal="right"/>
    </xf>
    <xf numFmtId="2" fontId="49" fillId="0" borderId="0" xfId="0" applyNumberFormat="1" applyFont="1" applyFill="1" applyAlignment="1">
      <alignment horizontal="center"/>
    </xf>
    <xf numFmtId="0" fontId="49" fillId="0" borderId="0" xfId="0" applyFont="1" applyFill="1"/>
    <xf numFmtId="0" fontId="12" fillId="0" borderId="0" xfId="0" applyFont="1" applyFill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28" xfId="0" applyFont="1" applyFill="1" applyBorder="1"/>
    <xf numFmtId="0" fontId="12" fillId="0" borderId="29" xfId="0" applyFont="1" applyFill="1" applyBorder="1"/>
    <xf numFmtId="0" fontId="12" fillId="0" borderId="29" xfId="0" applyFont="1" applyFill="1" applyBorder="1" applyAlignment="1">
      <alignment horizontal="centerContinuous"/>
    </xf>
    <xf numFmtId="39" fontId="8" fillId="0" borderId="29" xfId="156" applyNumberFormat="1" applyFont="1" applyFill="1" applyBorder="1"/>
    <xf numFmtId="39" fontId="12" fillId="0" borderId="38" xfId="0" applyNumberFormat="1" applyFont="1" applyFill="1" applyBorder="1"/>
    <xf numFmtId="0" fontId="12" fillId="0" borderId="34" xfId="0" applyFont="1" applyFill="1" applyBorder="1"/>
    <xf numFmtId="2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Continuous"/>
    </xf>
    <xf numFmtId="39" fontId="8" fillId="0" borderId="1" xfId="156" applyNumberFormat="1" applyFont="1" applyFill="1" applyBorder="1"/>
    <xf numFmtId="39" fontId="12" fillId="0" borderId="33" xfId="0" applyNumberFormat="1" applyFont="1" applyFill="1" applyBorder="1"/>
    <xf numFmtId="0" fontId="12" fillId="0" borderId="35" xfId="0" applyFont="1" applyFill="1" applyBorder="1"/>
    <xf numFmtId="0" fontId="12" fillId="0" borderId="36" xfId="0" applyFont="1" applyFill="1" applyBorder="1"/>
    <xf numFmtId="0" fontId="49" fillId="0" borderId="36" xfId="0" applyFont="1" applyFill="1" applyBorder="1" applyAlignment="1">
      <alignment horizontal="right"/>
    </xf>
    <xf numFmtId="39" fontId="49" fillId="0" borderId="39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49" fillId="0" borderId="52" xfId="0" applyFont="1" applyFill="1" applyBorder="1" applyAlignment="1">
      <alignment horizontal="right"/>
    </xf>
    <xf numFmtId="39" fontId="49" fillId="0" borderId="54" xfId="0" applyNumberFormat="1" applyFont="1" applyFill="1" applyBorder="1" applyAlignment="1">
      <alignment horizontal="right"/>
    </xf>
    <xf numFmtId="2" fontId="12" fillId="0" borderId="29" xfId="0" applyNumberFormat="1" applyFont="1" applyFill="1" applyBorder="1"/>
    <xf numFmtId="4" fontId="76" fillId="0" borderId="29" xfId="0" applyNumberFormat="1" applyFont="1" applyBorder="1" applyAlignment="1" applyProtection="1">
      <alignment horizontal="right" vertical="center"/>
    </xf>
    <xf numFmtId="0" fontId="12" fillId="0" borderId="32" xfId="0" applyFont="1" applyFill="1" applyBorder="1"/>
    <xf numFmtId="0" fontId="12" fillId="0" borderId="5" xfId="0" applyFont="1" applyFill="1" applyBorder="1"/>
    <xf numFmtId="0" fontId="12" fillId="0" borderId="5" xfId="0" applyFont="1" applyFill="1" applyBorder="1" applyAlignment="1">
      <alignment horizontal="centerContinuous"/>
    </xf>
    <xf numFmtId="39" fontId="8" fillId="0" borderId="5" xfId="156" applyNumberFormat="1" applyFont="1" applyFill="1" applyBorder="1"/>
    <xf numFmtId="0" fontId="12" fillId="0" borderId="46" xfId="0" applyFont="1" applyFill="1" applyBorder="1"/>
    <xf numFmtId="2" fontId="8" fillId="0" borderId="3" xfId="156" applyNumberFormat="1" applyFont="1" applyFill="1" applyBorder="1"/>
    <xf numFmtId="0" fontId="12" fillId="0" borderId="3" xfId="0" applyFont="1" applyFill="1" applyBorder="1" applyAlignment="1">
      <alignment horizontal="center"/>
    </xf>
    <xf numFmtId="39" fontId="12" fillId="0" borderId="1" xfId="0" applyNumberFormat="1" applyFont="1" applyFill="1" applyBorder="1"/>
    <xf numFmtId="39" fontId="12" fillId="0" borderId="47" xfId="0" applyNumberFormat="1" applyFont="1" applyFill="1" applyBorder="1"/>
    <xf numFmtId="0" fontId="12" fillId="0" borderId="22" xfId="0" applyFont="1" applyFill="1" applyBorder="1"/>
    <xf numFmtId="0" fontId="12" fillId="0" borderId="23" xfId="0" applyFont="1" applyFill="1" applyBorder="1"/>
    <xf numFmtId="0" fontId="49" fillId="0" borderId="0" xfId="0" applyFont="1" applyFill="1" applyBorder="1" applyAlignment="1"/>
    <xf numFmtId="0" fontId="49" fillId="0" borderId="22" xfId="0" applyFont="1" applyFill="1" applyBorder="1" applyAlignment="1"/>
    <xf numFmtId="39" fontId="49" fillId="0" borderId="22" xfId="0" applyNumberFormat="1" applyFont="1" applyFill="1" applyBorder="1" applyAlignment="1">
      <alignment horizontal="right"/>
    </xf>
    <xf numFmtId="39" fontId="49" fillId="0" borderId="45" xfId="0" applyNumberFormat="1" applyFont="1" applyFill="1" applyBorder="1" applyAlignment="1">
      <alignment horizontal="right"/>
    </xf>
    <xf numFmtId="0" fontId="4" fillId="0" borderId="1" xfId="0" applyFont="1" applyBorder="1"/>
    <xf numFmtId="0" fontId="3" fillId="3" borderId="1" xfId="21" applyFont="1" applyFill="1" applyBorder="1" applyAlignment="1"/>
    <xf numFmtId="0" fontId="3" fillId="3" borderId="1" xfId="21" applyFont="1" applyFill="1" applyBorder="1" applyAlignment="1">
      <alignment horizontal="centerContinuous"/>
    </xf>
    <xf numFmtId="2" fontId="3" fillId="3" borderId="1" xfId="21" applyNumberFormat="1" applyFont="1" applyFill="1" applyBorder="1" applyAlignment="1"/>
    <xf numFmtId="0" fontId="3" fillId="3" borderId="1" xfId="21" applyFont="1" applyFill="1" applyBorder="1" applyAlignment="1">
      <alignment horizontal="center" vertical="center"/>
    </xf>
    <xf numFmtId="0" fontId="25" fillId="2" borderId="1" xfId="19" applyFont="1" applyFill="1" applyBorder="1" applyAlignment="1">
      <alignment horizontal="left"/>
    </xf>
    <xf numFmtId="0" fontId="25" fillId="2" borderId="1" xfId="19" applyFont="1" applyFill="1" applyBorder="1" applyAlignment="1">
      <alignment horizontal="center"/>
    </xf>
    <xf numFmtId="0" fontId="6" fillId="2" borderId="1" xfId="19" applyFont="1" applyFill="1" applyBorder="1" applyAlignment="1">
      <alignment horizontal="center"/>
    </xf>
    <xf numFmtId="169" fontId="6" fillId="2" borderId="1" xfId="19" applyNumberFormat="1" applyFont="1" applyFill="1" applyBorder="1" applyAlignment="1">
      <alignment horizontal="center"/>
    </xf>
    <xf numFmtId="49" fontId="4" fillId="2" borderId="4" xfId="3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0" fillId="0" borderId="0" xfId="0"/>
    <xf numFmtId="0" fontId="77" fillId="5" borderId="72" xfId="160" applyFont="1" applyFill="1" applyBorder="1" applyAlignment="1"/>
    <xf numFmtId="0" fontId="9" fillId="5" borderId="73" xfId="157" applyNumberFormat="1" applyFont="1" applyFill="1" applyBorder="1" applyAlignment="1"/>
    <xf numFmtId="0" fontId="9" fillId="5" borderId="1" xfId="157" applyFont="1" applyFill="1" applyBorder="1"/>
    <xf numFmtId="0" fontId="5" fillId="5" borderId="1" xfId="157" applyFont="1" applyFill="1" applyBorder="1" applyAlignment="1">
      <alignment horizontal="center"/>
    </xf>
    <xf numFmtId="0" fontId="76" fillId="5" borderId="1" xfId="160" applyFont="1" applyFill="1" applyBorder="1"/>
    <xf numFmtId="169" fontId="76" fillId="5" borderId="1" xfId="161" applyFont="1" applyFill="1" applyBorder="1"/>
    <xf numFmtId="169" fontId="76" fillId="5" borderId="1" xfId="161" applyFont="1" applyFill="1" applyBorder="1" applyAlignment="1">
      <alignment horizontal="center"/>
    </xf>
    <xf numFmtId="7" fontId="9" fillId="5" borderId="1" xfId="157" applyNumberFormat="1" applyFont="1" applyFill="1" applyBorder="1" applyProtection="1"/>
    <xf numFmtId="39" fontId="76" fillId="5" borderId="1" xfId="161" applyNumberFormat="1" applyFont="1" applyFill="1" applyBorder="1"/>
    <xf numFmtId="0" fontId="5" fillId="5" borderId="1" xfId="157" applyFont="1" applyFill="1" applyBorder="1" applyProtection="1"/>
    <xf numFmtId="0" fontId="9" fillId="5" borderId="1" xfId="157" applyFont="1" applyFill="1" applyBorder="1" applyAlignment="1" applyProtection="1">
      <alignment horizontal="center"/>
    </xf>
    <xf numFmtId="7" fontId="5" fillId="5" borderId="1" xfId="157" applyNumberFormat="1" applyFont="1" applyFill="1" applyBorder="1" applyProtection="1"/>
    <xf numFmtId="0" fontId="5" fillId="5" borderId="73" xfId="157" applyNumberFormat="1" applyFont="1" applyFill="1" applyBorder="1" applyAlignment="1" applyProtection="1"/>
    <xf numFmtId="0" fontId="78" fillId="5" borderId="1" xfId="159" applyFont="1" applyFill="1" applyBorder="1" applyProtection="1"/>
    <xf numFmtId="184" fontId="78" fillId="5" borderId="1" xfId="159" applyNumberFormat="1" applyFont="1" applyFill="1" applyBorder="1" applyProtection="1"/>
    <xf numFmtId="0" fontId="78" fillId="5" borderId="1" xfId="159" applyFont="1" applyFill="1" applyBorder="1" applyAlignment="1" applyProtection="1">
      <alignment horizontal="center"/>
    </xf>
    <xf numFmtId="7" fontId="78" fillId="5" borderId="1" xfId="159" applyNumberFormat="1" applyFont="1" applyFill="1" applyBorder="1" applyProtection="1"/>
    <xf numFmtId="0" fontId="5" fillId="5" borderId="1" xfId="27" applyFont="1" applyFill="1" applyBorder="1" applyAlignment="1">
      <alignment horizontal="left"/>
    </xf>
    <xf numFmtId="0" fontId="9" fillId="5" borderId="1" xfId="157" applyFont="1" applyFill="1" applyBorder="1" applyProtection="1"/>
    <xf numFmtId="0" fontId="9" fillId="2" borderId="0" xfId="157" applyFont="1" applyFill="1" applyBorder="1"/>
    <xf numFmtId="0" fontId="5" fillId="2" borderId="0" xfId="157" applyFont="1" applyFill="1" applyBorder="1" applyAlignment="1">
      <alignment horizontal="right"/>
    </xf>
    <xf numFmtId="164" fontId="5" fillId="2" borderId="0" xfId="157" applyNumberFormat="1" applyFont="1" applyFill="1" applyBorder="1" applyAlignment="1">
      <alignment horizontal="right"/>
    </xf>
    <xf numFmtId="0" fontId="79" fillId="36" borderId="0" xfId="162" applyFont="1" applyFill="1" applyBorder="1" applyAlignment="1">
      <alignment horizontal="left"/>
    </xf>
    <xf numFmtId="43" fontId="79" fillId="5" borderId="0" xfId="163" applyFont="1" applyFill="1" applyBorder="1" applyAlignment="1">
      <alignment horizontal="center"/>
    </xf>
    <xf numFmtId="0" fontId="79" fillId="5" borderId="3" xfId="162" applyFont="1" applyFill="1" applyBorder="1" applyAlignment="1">
      <alignment horizontal="center"/>
    </xf>
    <xf numFmtId="43" fontId="79" fillId="5" borderId="3" xfId="163" applyFont="1" applyFill="1" applyBorder="1" applyAlignment="1">
      <alignment horizontal="center"/>
    </xf>
    <xf numFmtId="0" fontId="80" fillId="5" borderId="4" xfId="0" applyFont="1" applyFill="1" applyBorder="1"/>
    <xf numFmtId="43" fontId="80" fillId="5" borderId="4" xfId="163" applyFont="1" applyFill="1" applyBorder="1"/>
    <xf numFmtId="43" fontId="80" fillId="5" borderId="4" xfId="163" applyFont="1" applyFill="1" applyBorder="1" applyAlignment="1">
      <alignment horizontal="center"/>
    </xf>
    <xf numFmtId="0" fontId="80" fillId="5" borderId="5" xfId="27" applyFont="1" applyFill="1" applyBorder="1" applyAlignment="1">
      <alignment horizontal="right"/>
    </xf>
    <xf numFmtId="43" fontId="80" fillId="5" borderId="5" xfId="163" applyFont="1" applyFill="1" applyBorder="1"/>
    <xf numFmtId="43" fontId="80" fillId="5" borderId="5" xfId="163" applyFont="1" applyFill="1" applyBorder="1" applyAlignment="1" applyProtection="1">
      <alignment horizontal="center"/>
    </xf>
    <xf numFmtId="43" fontId="79" fillId="5" borderId="5" xfId="163" applyFont="1" applyFill="1" applyBorder="1" applyAlignment="1">
      <alignment horizontal="right"/>
    </xf>
    <xf numFmtId="0" fontId="4" fillId="5" borderId="0" xfId="0" applyFont="1" applyFill="1" applyBorder="1"/>
    <xf numFmtId="0" fontId="80" fillId="5" borderId="0" xfId="27" applyFont="1" applyFill="1" applyBorder="1" applyAlignment="1">
      <alignment horizontal="right"/>
    </xf>
    <xf numFmtId="43" fontId="81" fillId="5" borderId="0" xfId="163" applyFont="1" applyFill="1" applyBorder="1"/>
    <xf numFmtId="43" fontId="4" fillId="5" borderId="0" xfId="163" applyFont="1" applyFill="1" applyBorder="1"/>
    <xf numFmtId="0" fontId="4" fillId="36" borderId="11" xfId="16" applyFont="1" applyFill="1" applyBorder="1"/>
    <xf numFmtId="164" fontId="3" fillId="36" borderId="74" xfId="16" applyNumberFormat="1" applyFont="1" applyFill="1" applyBorder="1"/>
    <xf numFmtId="0" fontId="5" fillId="5" borderId="0" xfId="16" applyNumberFormat="1" applyFont="1" applyFill="1" applyBorder="1" applyAlignment="1" applyProtection="1"/>
    <xf numFmtId="0" fontId="9" fillId="5" borderId="0" xfId="16" applyNumberFormat="1" applyFont="1" applyFill="1" applyBorder="1" applyAlignment="1"/>
    <xf numFmtId="0" fontId="9" fillId="5" borderId="28" xfId="16" applyFont="1" applyFill="1" applyBorder="1"/>
    <xf numFmtId="0" fontId="5" fillId="5" borderId="29" xfId="16" applyFont="1" applyFill="1" applyBorder="1" applyAlignment="1">
      <alignment horizontal="center"/>
    </xf>
    <xf numFmtId="0" fontId="5" fillId="5" borderId="38" xfId="16" applyFont="1" applyFill="1" applyBorder="1" applyAlignment="1">
      <alignment horizontal="center"/>
    </xf>
    <xf numFmtId="0" fontId="9" fillId="5" borderId="75" xfId="16" applyFont="1" applyFill="1" applyBorder="1" applyAlignment="1" applyProtection="1">
      <alignment horizontal="left"/>
    </xf>
    <xf numFmtId="184" fontId="9" fillId="5" borderId="4" xfId="16" applyNumberFormat="1" applyFont="1" applyFill="1" applyBorder="1" applyAlignment="1" applyProtection="1">
      <alignment horizontal="right"/>
    </xf>
    <xf numFmtId="0" fontId="9" fillId="5" borderId="4" xfId="16" applyFont="1" applyFill="1" applyBorder="1" applyAlignment="1" applyProtection="1">
      <alignment horizontal="center"/>
    </xf>
    <xf numFmtId="43" fontId="9" fillId="5" borderId="4" xfId="158" applyFont="1" applyFill="1" applyBorder="1" applyAlignment="1">
      <alignment horizontal="right"/>
    </xf>
    <xf numFmtId="43" fontId="9" fillId="5" borderId="76" xfId="158" applyFont="1" applyFill="1" applyBorder="1" applyAlignment="1">
      <alignment horizontal="right"/>
    </xf>
    <xf numFmtId="0" fontId="9" fillId="5" borderId="75" xfId="16" applyFont="1" applyFill="1" applyBorder="1" applyProtection="1"/>
    <xf numFmtId="184" fontId="9" fillId="5" borderId="4" xfId="16" applyNumberFormat="1" applyFont="1" applyFill="1" applyBorder="1" applyProtection="1"/>
    <xf numFmtId="0" fontId="9" fillId="5" borderId="75" xfId="16" applyFont="1" applyFill="1" applyBorder="1"/>
    <xf numFmtId="0" fontId="9" fillId="5" borderId="4" xfId="16" applyFont="1" applyFill="1" applyBorder="1"/>
    <xf numFmtId="43" fontId="5" fillId="5" borderId="4" xfId="158" applyFont="1" applyFill="1" applyBorder="1" applyAlignment="1">
      <alignment horizontal="right"/>
    </xf>
    <xf numFmtId="43" fontId="5" fillId="5" borderId="76" xfId="158" applyFont="1" applyFill="1" applyBorder="1" applyAlignment="1"/>
    <xf numFmtId="0" fontId="9" fillId="5" borderId="56" xfId="157" applyFont="1" applyFill="1" applyBorder="1"/>
    <xf numFmtId="43" fontId="9" fillId="5" borderId="57" xfId="158" applyFont="1" applyFill="1" applyBorder="1"/>
    <xf numFmtId="43" fontId="9" fillId="5" borderId="57" xfId="158" applyFont="1" applyFill="1" applyBorder="1" applyAlignment="1"/>
    <xf numFmtId="43" fontId="9" fillId="5" borderId="37" xfId="158" applyFont="1" applyFill="1" applyBorder="1"/>
    <xf numFmtId="0" fontId="9" fillId="5" borderId="0" xfId="157" applyFont="1" applyFill="1" applyBorder="1"/>
    <xf numFmtId="43" fontId="9" fillId="5" borderId="0" xfId="158" applyFont="1" applyFill="1" applyBorder="1"/>
    <xf numFmtId="43" fontId="5" fillId="5" borderId="0" xfId="158" applyFont="1" applyFill="1" applyBorder="1" applyAlignment="1">
      <alignment horizontal="right"/>
    </xf>
    <xf numFmtId="164" fontId="5" fillId="5" borderId="0" xfId="16" applyNumberFormat="1" applyFont="1" applyFill="1" applyBorder="1" applyAlignment="1">
      <alignment horizontal="right"/>
    </xf>
    <xf numFmtId="168" fontId="22" fillId="3" borderId="0" xfId="0" applyNumberFormat="1" applyFont="1" applyFill="1"/>
    <xf numFmtId="168" fontId="4" fillId="3" borderId="0" xfId="0" applyNumberFormat="1" applyFont="1" applyFill="1"/>
    <xf numFmtId="0" fontId="24" fillId="5" borderId="0" xfId="30" applyFont="1" applyFill="1" applyBorder="1" applyAlignment="1" applyProtection="1">
      <alignment horizontal="left" vertical="center"/>
    </xf>
    <xf numFmtId="169" fontId="6" fillId="5" borderId="0" xfId="29" applyFont="1" applyFill="1" applyBorder="1" applyAlignment="1">
      <alignment horizontal="right" vertical="center"/>
    </xf>
    <xf numFmtId="0" fontId="6" fillId="5" borderId="0" xfId="30" applyFont="1" applyFill="1" applyBorder="1" applyAlignment="1">
      <alignment horizontal="center" vertical="center"/>
    </xf>
    <xf numFmtId="0" fontId="23" fillId="5" borderId="1" xfId="104" applyFont="1" applyFill="1" applyBorder="1" applyAlignment="1">
      <alignment horizontal="center" vertical="top"/>
    </xf>
    <xf numFmtId="168" fontId="23" fillId="5" borderId="1" xfId="104" applyNumberFormat="1" applyFont="1" applyFill="1" applyBorder="1" applyAlignment="1">
      <alignment vertical="top"/>
    </xf>
    <xf numFmtId="0" fontId="6" fillId="5" borderId="3" xfId="30" applyFont="1" applyFill="1" applyBorder="1" applyAlignment="1" applyProtection="1">
      <alignment horizontal="left" vertical="center"/>
    </xf>
    <xf numFmtId="4" fontId="6" fillId="5" borderId="3" xfId="29" applyNumberFormat="1" applyFont="1" applyFill="1" applyBorder="1" applyAlignment="1">
      <alignment horizontal="right" vertical="center"/>
    </xf>
    <xf numFmtId="0" fontId="6" fillId="5" borderId="3" xfId="30" applyFont="1" applyFill="1" applyBorder="1" applyAlignment="1">
      <alignment horizontal="center" vertical="center"/>
    </xf>
    <xf numFmtId="4" fontId="6" fillId="5" borderId="3" xfId="29" applyNumberFormat="1" applyFont="1" applyFill="1" applyBorder="1" applyAlignment="1" applyProtection="1">
      <alignment horizontal="right" vertical="center"/>
      <protection locked="0"/>
    </xf>
    <xf numFmtId="0" fontId="6" fillId="5" borderId="4" xfId="30" applyFont="1" applyFill="1" applyBorder="1" applyAlignment="1" applyProtection="1">
      <alignment horizontal="left" vertical="center"/>
    </xf>
    <xf numFmtId="4" fontId="6" fillId="5" borderId="4" xfId="29" applyNumberFormat="1" applyFont="1" applyFill="1" applyBorder="1" applyAlignment="1">
      <alignment horizontal="right" vertical="center"/>
    </xf>
    <xf numFmtId="0" fontId="6" fillId="5" borderId="4" xfId="30" applyFont="1" applyFill="1" applyBorder="1" applyAlignment="1">
      <alignment horizontal="center" vertical="center"/>
    </xf>
    <xf numFmtId="4" fontId="6" fillId="5" borderId="4" xfId="29" applyNumberFormat="1" applyFont="1" applyFill="1" applyBorder="1" applyAlignment="1" applyProtection="1">
      <alignment horizontal="right" vertical="center"/>
      <protection locked="0"/>
    </xf>
    <xf numFmtId="0" fontId="4" fillId="5" borderId="4" xfId="157" applyFont="1" applyFill="1" applyBorder="1"/>
    <xf numFmtId="49" fontId="24" fillId="5" borderId="4" xfId="29" applyNumberFormat="1" applyFont="1" applyFill="1" applyBorder="1" applyAlignment="1">
      <alignment horizontal="right" vertical="center"/>
    </xf>
    <xf numFmtId="4" fontId="24" fillId="5" borderId="4" xfId="29" applyNumberFormat="1" applyFont="1" applyFill="1" applyBorder="1" applyAlignment="1">
      <alignment horizontal="right" vertical="center"/>
    </xf>
    <xf numFmtId="0" fontId="6" fillId="5" borderId="5" xfId="30" applyFont="1" applyFill="1" applyBorder="1" applyAlignment="1" applyProtection="1">
      <alignment horizontal="left" vertical="center"/>
    </xf>
    <xf numFmtId="169" fontId="6" fillId="5" borderId="5" xfId="29" applyFont="1" applyFill="1" applyBorder="1" applyAlignment="1">
      <alignment horizontal="right" vertical="center"/>
    </xf>
    <xf numFmtId="0" fontId="6" fillId="5" borderId="5" xfId="30" applyFont="1" applyFill="1" applyBorder="1" applyAlignment="1">
      <alignment horizontal="center" vertical="center"/>
    </xf>
    <xf numFmtId="49" fontId="24" fillId="5" borderId="5" xfId="29" applyNumberFormat="1" applyFont="1" applyFill="1" applyBorder="1" applyAlignment="1">
      <alignment horizontal="right" vertical="center"/>
    </xf>
    <xf numFmtId="4" fontId="24" fillId="5" borderId="5" xfId="29" applyNumberFormat="1" applyFont="1" applyFill="1" applyBorder="1" applyAlignment="1">
      <alignment horizontal="right" vertical="center"/>
    </xf>
    <xf numFmtId="0" fontId="3" fillId="5" borderId="1" xfId="105" applyFont="1" applyFill="1" applyBorder="1"/>
    <xf numFmtId="0" fontId="4" fillId="5" borderId="1" xfId="105" applyFont="1" applyFill="1" applyBorder="1"/>
    <xf numFmtId="0" fontId="4" fillId="5" borderId="1" xfId="157" applyFont="1" applyFill="1" applyBorder="1"/>
    <xf numFmtId="43" fontId="3" fillId="5" borderId="1" xfId="158" applyFont="1" applyFill="1" applyBorder="1" applyAlignment="1">
      <alignment horizontal="center"/>
    </xf>
    <xf numFmtId="0" fontId="4" fillId="5" borderId="1" xfId="159" applyFont="1" applyFill="1" applyBorder="1" applyProtection="1"/>
    <xf numFmtId="184" fontId="4" fillId="5" borderId="1" xfId="159" applyNumberFormat="1" applyFont="1" applyFill="1" applyBorder="1" applyProtection="1"/>
    <xf numFmtId="0" fontId="4" fillId="5" borderId="1" xfId="159" applyFont="1" applyFill="1" applyBorder="1" applyAlignment="1" applyProtection="1">
      <alignment horizontal="center"/>
    </xf>
    <xf numFmtId="43" fontId="4" fillId="5" borderId="1" xfId="158" applyFont="1" applyFill="1" applyBorder="1" applyAlignment="1">
      <alignment horizontal="right"/>
    </xf>
    <xf numFmtId="184" fontId="3" fillId="5" borderId="1" xfId="159" applyNumberFormat="1" applyFont="1" applyFill="1" applyBorder="1" applyProtection="1"/>
    <xf numFmtId="43" fontId="3" fillId="5" borderId="1" xfId="159" applyNumberFormat="1" applyFont="1" applyFill="1" applyBorder="1" applyProtection="1"/>
    <xf numFmtId="0" fontId="3" fillId="5" borderId="1" xfId="159" applyFont="1" applyFill="1" applyBorder="1" applyProtection="1"/>
    <xf numFmtId="7" fontId="4" fillId="5" borderId="1" xfId="159" applyNumberFormat="1" applyFont="1" applyFill="1" applyBorder="1" applyProtection="1"/>
    <xf numFmtId="2" fontId="4" fillId="5" borderId="1" xfId="105" applyNumberFormat="1" applyFont="1" applyFill="1" applyBorder="1"/>
    <xf numFmtId="0" fontId="4" fillId="5" borderId="1" xfId="105" applyFont="1" applyFill="1" applyBorder="1" applyAlignment="1">
      <alignment horizontal="center"/>
    </xf>
    <xf numFmtId="39" fontId="4" fillId="5" borderId="1" xfId="105" applyNumberFormat="1" applyFont="1" applyFill="1" applyBorder="1"/>
    <xf numFmtId="4" fontId="4" fillId="5" borderId="1" xfId="105" applyNumberFormat="1" applyFont="1" applyFill="1" applyBorder="1"/>
    <xf numFmtId="164" fontId="3" fillId="5" borderId="1" xfId="105" applyNumberFormat="1" applyFont="1" applyFill="1" applyBorder="1" applyAlignment="1">
      <alignment horizontal="right"/>
    </xf>
    <xf numFmtId="43" fontId="3" fillId="5" borderId="1" xfId="105" applyNumberFormat="1" applyFont="1" applyFill="1" applyBorder="1"/>
    <xf numFmtId="0" fontId="4" fillId="5" borderId="1" xfId="27" applyFont="1" applyFill="1" applyBorder="1" applyAlignment="1">
      <alignment horizontal="right"/>
    </xf>
    <xf numFmtId="200" fontId="4" fillId="5" borderId="1" xfId="105" applyNumberFormat="1" applyFont="1" applyFill="1" applyBorder="1"/>
    <xf numFmtId="164" fontId="3" fillId="5" borderId="1" xfId="105" applyNumberFormat="1" applyFont="1" applyFill="1" applyBorder="1"/>
    <xf numFmtId="43" fontId="4" fillId="5" borderId="1" xfId="158" applyFont="1" applyFill="1" applyBorder="1"/>
    <xf numFmtId="0" fontId="24" fillId="7" borderId="1" xfId="21" applyFont="1" applyFill="1" applyBorder="1" applyAlignment="1"/>
    <xf numFmtId="169" fontId="6" fillId="7" borderId="1" xfId="29" quotePrefix="1" applyFont="1" applyFill="1" applyBorder="1" applyAlignment="1">
      <alignment horizontal="left"/>
    </xf>
    <xf numFmtId="39" fontId="6" fillId="7" borderId="1" xfId="21" applyNumberFormat="1" applyFont="1" applyFill="1" applyBorder="1" applyAlignment="1">
      <alignment horizontal="center"/>
    </xf>
    <xf numFmtId="169" fontId="6" fillId="7" borderId="1" xfId="29" applyFont="1" applyFill="1" applyBorder="1" applyAlignment="1"/>
    <xf numFmtId="169" fontId="24" fillId="7" borderId="1" xfId="29" applyFont="1" applyFill="1" applyBorder="1" applyAlignment="1">
      <alignment horizontal="right"/>
    </xf>
    <xf numFmtId="0" fontId="6" fillId="7" borderId="1" xfId="21" applyFont="1" applyFill="1" applyBorder="1" applyAlignment="1"/>
    <xf numFmtId="4" fontId="6" fillId="7" borderId="1" xfId="29" quotePrefix="1" applyNumberFormat="1" applyFont="1" applyFill="1" applyBorder="1" applyAlignment="1"/>
    <xf numFmtId="4" fontId="6" fillId="7" borderId="1" xfId="29" applyNumberFormat="1" applyFont="1" applyFill="1" applyBorder="1" applyAlignment="1"/>
    <xf numFmtId="0" fontId="6" fillId="7" borderId="1" xfId="21" applyFont="1" applyFill="1" applyBorder="1" applyAlignment="1">
      <alignment horizontal="left"/>
    </xf>
    <xf numFmtId="4" fontId="24" fillId="7" borderId="1" xfId="29" applyNumberFormat="1" applyFont="1" applyFill="1" applyBorder="1" applyAlignment="1"/>
    <xf numFmtId="169" fontId="3" fillId="7" borderId="1" xfId="29" applyFont="1" applyFill="1" applyBorder="1" applyAlignment="1">
      <alignment horizontal="right"/>
    </xf>
    <xf numFmtId="4" fontId="3" fillId="7" borderId="1" xfId="29" applyNumberFormat="1" applyFont="1" applyFill="1" applyBorder="1" applyAlignment="1">
      <alignment horizontal="right"/>
    </xf>
    <xf numFmtId="0" fontId="3" fillId="5" borderId="77" xfId="44" applyFont="1" applyFill="1" applyBorder="1"/>
    <xf numFmtId="43" fontId="4" fillId="5" borderId="78" xfId="164" applyFont="1" applyFill="1" applyBorder="1"/>
    <xf numFmtId="0" fontId="4" fillId="5" borderId="78" xfId="44" applyFont="1" applyFill="1" applyBorder="1" applyAlignment="1">
      <alignment horizontal="center"/>
    </xf>
    <xf numFmtId="0" fontId="4" fillId="5" borderId="79" xfId="44" applyFont="1" applyFill="1" applyBorder="1"/>
    <xf numFmtId="0" fontId="3" fillId="5" borderId="80" xfId="44" applyFont="1" applyFill="1" applyBorder="1"/>
    <xf numFmtId="43" fontId="4" fillId="5" borderId="20" xfId="164" applyFont="1" applyFill="1" applyBorder="1"/>
    <xf numFmtId="0" fontId="4" fillId="5" borderId="20" xfId="44" applyFont="1" applyFill="1" applyBorder="1" applyAlignment="1">
      <alignment horizontal="center"/>
    </xf>
    <xf numFmtId="0" fontId="4" fillId="5" borderId="81" xfId="44" applyFont="1" applyFill="1" applyBorder="1"/>
    <xf numFmtId="0" fontId="4" fillId="5" borderId="80" xfId="44" applyFont="1" applyFill="1" applyBorder="1"/>
    <xf numFmtId="43" fontId="4" fillId="5" borderId="4" xfId="164" applyFont="1" applyFill="1" applyBorder="1"/>
    <xf numFmtId="4" fontId="4" fillId="5" borderId="4" xfId="44" applyNumberFormat="1" applyFont="1" applyFill="1" applyBorder="1"/>
    <xf numFmtId="0" fontId="4" fillId="5" borderId="4" xfId="44" applyFont="1" applyFill="1" applyBorder="1"/>
    <xf numFmtId="0" fontId="4" fillId="5" borderId="4" xfId="44" applyFont="1" applyFill="1" applyBorder="1" applyAlignment="1">
      <alignment horizontal="center"/>
    </xf>
    <xf numFmtId="40" fontId="3" fillId="5" borderId="81" xfId="44" applyNumberFormat="1" applyFont="1" applyFill="1" applyBorder="1"/>
    <xf numFmtId="40" fontId="3" fillId="5" borderId="4" xfId="44" applyNumberFormat="1" applyFont="1" applyFill="1" applyBorder="1"/>
    <xf numFmtId="0" fontId="3" fillId="5" borderId="4" xfId="44" applyFont="1" applyFill="1" applyBorder="1"/>
    <xf numFmtId="2" fontId="3" fillId="5" borderId="4" xfId="44" applyNumberFormat="1" applyFont="1" applyFill="1" applyBorder="1"/>
    <xf numFmtId="40" fontId="4" fillId="5" borderId="4" xfId="44" applyNumberFormat="1" applyFont="1" applyFill="1" applyBorder="1" applyAlignment="1">
      <alignment wrapText="1"/>
    </xf>
    <xf numFmtId="0" fontId="4" fillId="5" borderId="5" xfId="44" applyFont="1" applyFill="1" applyBorder="1"/>
    <xf numFmtId="43" fontId="4" fillId="5" borderId="5" xfId="164" applyFont="1" applyFill="1" applyBorder="1"/>
    <xf numFmtId="0" fontId="4" fillId="5" borderId="5" xfId="44" applyFont="1" applyFill="1" applyBorder="1" applyAlignment="1">
      <alignment horizontal="center"/>
    </xf>
    <xf numFmtId="40" fontId="3" fillId="5" borderId="5" xfId="44" applyNumberFormat="1" applyFont="1" applyFill="1" applyBorder="1"/>
    <xf numFmtId="0" fontId="4" fillId="5" borderId="9" xfId="44" applyFont="1" applyFill="1" applyBorder="1"/>
    <xf numFmtId="43" fontId="4" fillId="5" borderId="82" xfId="164" applyFont="1" applyFill="1" applyBorder="1"/>
    <xf numFmtId="0" fontId="4" fillId="5" borderId="83" xfId="44" applyFont="1" applyFill="1" applyBorder="1" applyAlignment="1">
      <alignment horizontal="center"/>
    </xf>
    <xf numFmtId="43" fontId="3" fillId="5" borderId="9" xfId="164" quotePrefix="1" applyFont="1" applyFill="1" applyBorder="1" applyAlignment="1">
      <alignment horizontal="left"/>
    </xf>
    <xf numFmtId="2" fontId="3" fillId="5" borderId="84" xfId="44" applyNumberFormat="1" applyFont="1" applyFill="1" applyBorder="1"/>
    <xf numFmtId="0" fontId="24" fillId="5" borderId="0" xfId="19" applyFont="1" applyFill="1"/>
    <xf numFmtId="4" fontId="6" fillId="5" borderId="0" xfId="19" applyNumberFormat="1" applyFont="1" applyFill="1"/>
    <xf numFmtId="0" fontId="6" fillId="5" borderId="0" xfId="19" applyFont="1" applyFill="1"/>
    <xf numFmtId="0" fontId="6" fillId="5" borderId="28" xfId="19" applyFont="1" applyFill="1" applyBorder="1"/>
    <xf numFmtId="4" fontId="6" fillId="5" borderId="29" xfId="19" applyNumberFormat="1" applyFont="1" applyFill="1" applyBorder="1"/>
    <xf numFmtId="39" fontId="6" fillId="5" borderId="29" xfId="19" applyNumberFormat="1" applyFont="1" applyFill="1" applyBorder="1" applyAlignment="1">
      <alignment horizontal="centerContinuous"/>
    </xf>
    <xf numFmtId="4" fontId="6" fillId="5" borderId="29" xfId="20" applyNumberFormat="1" applyFont="1" applyFill="1" applyBorder="1"/>
    <xf numFmtId="0" fontId="6" fillId="5" borderId="34" xfId="19" applyFont="1" applyFill="1" applyBorder="1"/>
    <xf numFmtId="4" fontId="6" fillId="5" borderId="1" xfId="19" applyNumberFormat="1" applyFont="1" applyFill="1" applyBorder="1"/>
    <xf numFmtId="39" fontId="6" fillId="5" borderId="1" xfId="19" applyNumberFormat="1" applyFont="1" applyFill="1" applyBorder="1" applyAlignment="1">
      <alignment horizontal="centerContinuous"/>
    </xf>
    <xf numFmtId="4" fontId="6" fillId="5" borderId="1" xfId="20" applyNumberFormat="1" applyFont="1" applyFill="1" applyBorder="1"/>
    <xf numFmtId="0" fontId="6" fillId="5" borderId="35" xfId="19" applyFont="1" applyFill="1" applyBorder="1"/>
    <xf numFmtId="4" fontId="6" fillId="5" borderId="36" xfId="19" applyNumberFormat="1" applyFont="1" applyFill="1" applyBorder="1"/>
    <xf numFmtId="39" fontId="6" fillId="5" borderId="36" xfId="19" applyNumberFormat="1" applyFont="1" applyFill="1" applyBorder="1" applyAlignment="1">
      <alignment horizontal="centerContinuous"/>
    </xf>
    <xf numFmtId="4" fontId="24" fillId="5" borderId="36" xfId="19" quotePrefix="1" applyNumberFormat="1" applyFont="1" applyFill="1" applyBorder="1" applyAlignment="1">
      <alignment horizontal="right"/>
    </xf>
    <xf numFmtId="4" fontId="24" fillId="5" borderId="39" xfId="19" applyNumberFormat="1" applyFont="1" applyFill="1" applyBorder="1" applyAlignment="1">
      <alignment horizontal="right"/>
    </xf>
    <xf numFmtId="39" fontId="6" fillId="5" borderId="0" xfId="19" quotePrefix="1" applyNumberFormat="1" applyFont="1" applyFill="1" applyBorder="1" applyAlignment="1">
      <alignment horizontal="left"/>
    </xf>
    <xf numFmtId="0" fontId="6" fillId="5" borderId="29" xfId="19" applyFont="1" applyFill="1" applyBorder="1" applyAlignment="1">
      <alignment horizontal="centerContinuous"/>
    </xf>
    <xf numFmtId="0" fontId="24" fillId="5" borderId="43" xfId="19" applyFont="1" applyFill="1" applyBorder="1"/>
    <xf numFmtId="4" fontId="24" fillId="5" borderId="44" xfId="19" applyNumberFormat="1" applyFont="1" applyFill="1" applyBorder="1"/>
    <xf numFmtId="39" fontId="6" fillId="5" borderId="44" xfId="19" quotePrefix="1" applyNumberFormat="1" applyFont="1" applyFill="1" applyBorder="1" applyAlignment="1">
      <alignment horizontal="left"/>
    </xf>
    <xf numFmtId="4" fontId="24" fillId="5" borderId="44" xfId="19" applyNumberFormat="1" applyFont="1" applyFill="1" applyBorder="1" applyAlignment="1">
      <alignment horizontal="right"/>
    </xf>
    <xf numFmtId="4" fontId="24" fillId="5" borderId="45" xfId="19" applyNumberFormat="1" applyFont="1" applyFill="1" applyBorder="1"/>
    <xf numFmtId="179" fontId="6" fillId="5" borderId="29" xfId="19" applyNumberFormat="1" applyFont="1" applyFill="1" applyBorder="1"/>
    <xf numFmtId="4" fontId="24" fillId="5" borderId="36" xfId="19" applyNumberFormat="1" applyFont="1" applyFill="1" applyBorder="1" applyAlignment="1">
      <alignment horizontal="right"/>
    </xf>
    <xf numFmtId="0" fontId="24" fillId="5" borderId="0" xfId="19" applyFont="1" applyFill="1" applyBorder="1"/>
    <xf numFmtId="4" fontId="6" fillId="5" borderId="0" xfId="19" applyNumberFormat="1" applyFont="1" applyFill="1" applyBorder="1"/>
    <xf numFmtId="39" fontId="6" fillId="5" borderId="0" xfId="19" applyNumberFormat="1" applyFont="1" applyFill="1" applyBorder="1" applyAlignment="1">
      <alignment horizontal="centerContinuous"/>
    </xf>
    <xf numFmtId="4" fontId="24" fillId="5" borderId="0" xfId="19" applyNumberFormat="1" applyFont="1" applyFill="1" applyBorder="1" applyAlignment="1">
      <alignment horizontal="right"/>
    </xf>
    <xf numFmtId="0" fontId="6" fillId="5" borderId="34" xfId="19" quotePrefix="1" applyFont="1" applyFill="1" applyBorder="1" applyAlignment="1">
      <alignment horizontal="left"/>
    </xf>
    <xf numFmtId="0" fontId="24" fillId="5" borderId="1" xfId="21" applyFont="1" applyFill="1" applyBorder="1" applyAlignment="1">
      <alignment wrapText="1"/>
    </xf>
    <xf numFmtId="169" fontId="6" fillId="5" borderId="1" xfId="29" applyFont="1" applyFill="1" applyBorder="1" applyAlignment="1">
      <alignment wrapText="1"/>
    </xf>
    <xf numFmtId="0" fontId="6" fillId="5" borderId="1" xfId="21" applyFont="1" applyFill="1" applyBorder="1" applyAlignment="1">
      <alignment horizontal="center" wrapText="1"/>
    </xf>
    <xf numFmtId="0" fontId="6" fillId="5" borderId="1" xfId="21" applyFont="1" applyFill="1" applyBorder="1" applyAlignment="1">
      <alignment wrapText="1"/>
    </xf>
    <xf numFmtId="4" fontId="6" fillId="5" borderId="1" xfId="29" applyNumberFormat="1" applyFont="1" applyFill="1" applyBorder="1" applyAlignment="1">
      <alignment wrapText="1"/>
    </xf>
    <xf numFmtId="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178" fontId="6" fillId="5" borderId="1" xfId="29" applyNumberFormat="1" applyFont="1" applyFill="1" applyBorder="1" applyAlignment="1">
      <alignment wrapText="1"/>
    </xf>
    <xf numFmtId="192" fontId="6" fillId="5" borderId="1" xfId="29" applyNumberFormat="1" applyFont="1" applyFill="1" applyBorder="1" applyAlignment="1">
      <alignment wrapText="1"/>
    </xf>
    <xf numFmtId="169" fontId="24" fillId="5" borderId="1" xfId="29" applyFont="1" applyFill="1" applyBorder="1" applyAlignment="1">
      <alignment horizontal="right" wrapText="1"/>
    </xf>
    <xf numFmtId="4" fontId="24" fillId="5" borderId="1" xfId="29" applyNumberFormat="1" applyFont="1" applyFill="1" applyBorder="1" applyAlignment="1">
      <alignment horizontal="right" wrapText="1"/>
    </xf>
    <xf numFmtId="169" fontId="24" fillId="5" borderId="1" xfId="29" applyFont="1" applyFill="1" applyBorder="1" applyAlignment="1">
      <alignment wrapText="1"/>
    </xf>
    <xf numFmtId="0" fontId="24" fillId="5" borderId="25" xfId="0" applyFont="1" applyFill="1" applyBorder="1" applyAlignment="1" applyProtection="1">
      <alignment horizontal="left" vertical="center"/>
    </xf>
    <xf numFmtId="0" fontId="6" fillId="5" borderId="25" xfId="0" applyFont="1" applyFill="1" applyBorder="1" applyAlignment="1">
      <alignment horizontal="right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5" xfId="0" quotePrefix="1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right" vertical="center"/>
    </xf>
    <xf numFmtId="0" fontId="6" fillId="5" borderId="5" xfId="0" applyFont="1" applyFill="1" applyBorder="1" applyAlignment="1" applyProtection="1">
      <alignment horizontal="center" vertical="center"/>
    </xf>
    <xf numFmtId="4" fontId="6" fillId="5" borderId="5" xfId="0" applyNumberFormat="1" applyFont="1" applyFill="1" applyBorder="1" applyAlignment="1" applyProtection="1">
      <alignment horizontal="right" vertical="center"/>
    </xf>
    <xf numFmtId="0" fontId="6" fillId="5" borderId="1" xfId="0" quotePrefix="1" applyFont="1" applyFill="1" applyBorder="1" applyAlignment="1" applyProtection="1">
      <alignment horizontal="left" vertical="center"/>
    </xf>
    <xf numFmtId="2" fontId="6" fillId="5" borderId="1" xfId="0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horizontal="center" vertical="center"/>
    </xf>
    <xf numFmtId="4" fontId="6" fillId="5" borderId="1" xfId="0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vertical="center"/>
    </xf>
    <xf numFmtId="0" fontId="6" fillId="5" borderId="55" xfId="0" applyFont="1" applyFill="1" applyBorder="1" applyAlignment="1">
      <alignment horizontal="right" vertical="center"/>
    </xf>
    <xf numFmtId="0" fontId="6" fillId="5" borderId="55" xfId="0" applyFont="1" applyFill="1" applyBorder="1" applyAlignment="1">
      <alignment horizontal="center" vertical="center"/>
    </xf>
    <xf numFmtId="2" fontId="24" fillId="5" borderId="10" xfId="0" applyNumberFormat="1" applyFont="1" applyFill="1" applyBorder="1" applyAlignment="1" applyProtection="1">
      <alignment horizontal="right" vertical="center"/>
    </xf>
    <xf numFmtId="0" fontId="39" fillId="5" borderId="0" xfId="19" applyFont="1" applyFill="1"/>
    <xf numFmtId="4" fontId="39" fillId="5" borderId="0" xfId="19" applyNumberFormat="1" applyFont="1" applyFill="1"/>
    <xf numFmtId="0" fontId="6" fillId="5" borderId="28" xfId="0" quotePrefix="1" applyFont="1" applyFill="1" applyBorder="1" applyAlignment="1" applyProtection="1">
      <alignment horizontal="left" vertical="center"/>
    </xf>
    <xf numFmtId="0" fontId="6" fillId="5" borderId="29" xfId="0" applyFont="1" applyFill="1" applyBorder="1" applyAlignment="1" applyProtection="1">
      <alignment horizontal="right" vertical="center"/>
    </xf>
    <xf numFmtId="0" fontId="6" fillId="5" borderId="29" xfId="0" applyFont="1" applyFill="1" applyBorder="1" applyAlignment="1" applyProtection="1">
      <alignment horizontal="center" vertical="center"/>
    </xf>
    <xf numFmtId="4" fontId="6" fillId="5" borderId="29" xfId="0" applyNumberFormat="1" applyFont="1" applyFill="1" applyBorder="1" applyAlignment="1" applyProtection="1">
      <alignment horizontal="right" vertical="center"/>
    </xf>
    <xf numFmtId="0" fontId="6" fillId="5" borderId="34" xfId="0" quotePrefix="1" applyFont="1" applyFill="1" applyBorder="1" applyAlignment="1" applyProtection="1">
      <alignment horizontal="left" vertical="center"/>
    </xf>
    <xf numFmtId="0" fontId="6" fillId="5" borderId="35" xfId="0" applyFont="1" applyFill="1" applyBorder="1" applyAlignment="1">
      <alignment vertical="center"/>
    </xf>
    <xf numFmtId="0" fontId="6" fillId="5" borderId="36" xfId="0" applyFont="1" applyFill="1" applyBorder="1" applyAlignment="1">
      <alignment horizontal="right" vertical="center"/>
    </xf>
    <xf numFmtId="0" fontId="6" fillId="5" borderId="36" xfId="0" applyFont="1" applyFill="1" applyBorder="1" applyAlignment="1">
      <alignment horizontal="center" vertical="center"/>
    </xf>
    <xf numFmtId="4" fontId="24" fillId="5" borderId="39" xfId="0" applyNumberFormat="1" applyFont="1" applyFill="1" applyBorder="1" applyAlignment="1" applyProtection="1">
      <alignment horizontal="right" vertical="center"/>
    </xf>
    <xf numFmtId="4" fontId="40" fillId="5" borderId="39" xfId="19" applyNumberFormat="1" applyFont="1" applyFill="1" applyBorder="1" applyAlignment="1">
      <alignment vertical="top"/>
    </xf>
    <xf numFmtId="0" fontId="6" fillId="5" borderId="28" xfId="19" applyFont="1" applyFill="1" applyBorder="1" applyAlignment="1">
      <alignment horizontal="right" vertical="top"/>
    </xf>
    <xf numFmtId="4" fontId="6" fillId="5" borderId="29" xfId="19" applyNumberFormat="1" applyFont="1" applyFill="1" applyBorder="1" applyAlignment="1">
      <alignment vertical="top"/>
    </xf>
    <xf numFmtId="0" fontId="39" fillId="5" borderId="29" xfId="19" applyFont="1" applyFill="1" applyBorder="1" applyAlignment="1">
      <alignment horizontal="center" vertical="top"/>
    </xf>
    <xf numFmtId="169" fontId="29" fillId="5" borderId="38" xfId="29" applyFont="1" applyFill="1" applyBorder="1" applyAlignment="1">
      <alignment vertical="top"/>
    </xf>
    <xf numFmtId="0" fontId="6" fillId="5" borderId="34" xfId="19" applyFont="1" applyFill="1" applyBorder="1" applyAlignment="1">
      <alignment horizontal="right" vertical="top"/>
    </xf>
    <xf numFmtId="4" fontId="6" fillId="5" borderId="1" xfId="19" applyNumberFormat="1" applyFont="1" applyFill="1" applyBorder="1" applyAlignment="1">
      <alignment vertical="top"/>
    </xf>
    <xf numFmtId="0" fontId="6" fillId="5" borderId="1" xfId="19" applyFont="1" applyFill="1" applyBorder="1" applyAlignment="1">
      <alignment horizontal="center" vertical="top"/>
    </xf>
    <xf numFmtId="0" fontId="24" fillId="5" borderId="35" xfId="19" applyFont="1" applyFill="1" applyBorder="1" applyAlignment="1">
      <alignment horizontal="right" vertical="top"/>
    </xf>
    <xf numFmtId="4" fontId="6" fillId="5" borderId="36" xfId="19" applyNumberFormat="1" applyFont="1" applyFill="1" applyBorder="1" applyAlignment="1">
      <alignment vertical="top"/>
    </xf>
    <xf numFmtId="0" fontId="6" fillId="5" borderId="36" xfId="19" applyFont="1" applyFill="1" applyBorder="1" applyAlignment="1">
      <alignment vertical="top"/>
    </xf>
    <xf numFmtId="0" fontId="6" fillId="5" borderId="1" xfId="19" applyFont="1" applyFill="1" applyBorder="1" applyAlignment="1">
      <alignment horizontal="centerContinuous"/>
    </xf>
    <xf numFmtId="0" fontId="6" fillId="5" borderId="36" xfId="19" applyFont="1" applyFill="1" applyBorder="1" applyAlignment="1">
      <alignment horizontal="centerContinuous"/>
    </xf>
    <xf numFmtId="2" fontId="29" fillId="5" borderId="27" xfId="19" applyNumberFormat="1" applyFont="1" applyFill="1" applyBorder="1"/>
    <xf numFmtId="0" fontId="3" fillId="5" borderId="0" xfId="24" applyFont="1" applyFill="1" applyBorder="1"/>
    <xf numFmtId="39" fontId="31" fillId="5" borderId="0" xfId="24" applyNumberFormat="1" applyFont="1" applyFill="1" applyBorder="1"/>
    <xf numFmtId="39" fontId="31" fillId="5" borderId="0" xfId="24" applyNumberFormat="1" applyFont="1" applyFill="1" applyBorder="1" applyAlignment="1">
      <alignment horizontal="centerContinuous"/>
    </xf>
    <xf numFmtId="39" fontId="32" fillId="5" borderId="0" xfId="24" applyNumberFormat="1" applyFont="1" applyFill="1" applyBorder="1" applyAlignment="1">
      <alignment horizontal="right"/>
    </xf>
    <xf numFmtId="2" fontId="32" fillId="5" borderId="0" xfId="24" applyNumberFormat="1" applyFont="1" applyFill="1" applyBorder="1" applyAlignment="1">
      <alignment horizontal="right"/>
    </xf>
    <xf numFmtId="0" fontId="4" fillId="5" borderId="28" xfId="24" applyFont="1" applyFill="1" applyBorder="1"/>
    <xf numFmtId="39" fontId="4" fillId="5" borderId="29" xfId="24" applyNumberFormat="1" applyFont="1" applyFill="1" applyBorder="1"/>
    <xf numFmtId="39" fontId="4" fillId="5" borderId="29" xfId="24" applyNumberFormat="1" applyFont="1" applyFill="1" applyBorder="1" applyAlignment="1">
      <alignment horizontal="centerContinuous"/>
    </xf>
    <xf numFmtId="39" fontId="4" fillId="5" borderId="29" xfId="24" applyNumberFormat="1" applyFont="1" applyFill="1" applyBorder="1" applyAlignment="1">
      <alignment vertical="top" wrapText="1"/>
    </xf>
    <xf numFmtId="0" fontId="4" fillId="5" borderId="34" xfId="24" applyFont="1" applyFill="1" applyBorder="1"/>
    <xf numFmtId="39" fontId="4" fillId="5" borderId="1" xfId="24" applyNumberFormat="1" applyFont="1" applyFill="1" applyBorder="1"/>
    <xf numFmtId="39" fontId="4" fillId="5" borderId="1" xfId="24" applyNumberFormat="1" applyFont="1" applyFill="1" applyBorder="1" applyAlignment="1">
      <alignment horizontal="centerContinuous"/>
    </xf>
    <xf numFmtId="39" fontId="4" fillId="5" borderId="1" xfId="24" applyNumberFormat="1" applyFont="1" applyFill="1" applyBorder="1" applyAlignment="1">
      <alignment vertical="top" wrapText="1"/>
    </xf>
    <xf numFmtId="0" fontId="4" fillId="5" borderId="46" xfId="24" applyFont="1" applyFill="1" applyBorder="1"/>
    <xf numFmtId="39" fontId="4" fillId="5" borderId="3" xfId="24" applyNumberFormat="1" applyFont="1" applyFill="1" applyBorder="1"/>
    <xf numFmtId="39" fontId="4" fillId="5" borderId="3" xfId="24" applyNumberFormat="1" applyFont="1" applyFill="1" applyBorder="1" applyAlignment="1">
      <alignment horizontal="centerContinuous"/>
    </xf>
    <xf numFmtId="39" fontId="4" fillId="5" borderId="3" xfId="24" applyNumberFormat="1" applyFont="1" applyFill="1" applyBorder="1" applyAlignment="1">
      <alignment vertical="top" wrapText="1"/>
    </xf>
    <xf numFmtId="0" fontId="4" fillId="5" borderId="35" xfId="24" applyFont="1" applyFill="1" applyBorder="1"/>
    <xf numFmtId="39" fontId="4" fillId="5" borderId="36" xfId="24" applyNumberFormat="1" applyFont="1" applyFill="1" applyBorder="1"/>
    <xf numFmtId="39" fontId="4" fillId="5" borderId="36" xfId="24" applyNumberFormat="1" applyFont="1" applyFill="1" applyBorder="1" applyAlignment="1">
      <alignment horizontal="centerContinuous"/>
    </xf>
    <xf numFmtId="39" fontId="3" fillId="5" borderId="36" xfId="24" applyNumberFormat="1" applyFont="1" applyFill="1" applyBorder="1" applyAlignment="1">
      <alignment horizontal="right"/>
    </xf>
    <xf numFmtId="4" fontId="3" fillId="5" borderId="39" xfId="24" applyNumberFormat="1" applyFont="1" applyFill="1" applyBorder="1" applyAlignment="1">
      <alignment horizontal="right"/>
    </xf>
    <xf numFmtId="2" fontId="3" fillId="5" borderId="39" xfId="19" applyNumberFormat="1" applyFont="1" applyFill="1" applyBorder="1" applyAlignment="1">
      <alignment horizontal="right"/>
    </xf>
    <xf numFmtId="4" fontId="10" fillId="5" borderId="1" xfId="26" applyNumberFormat="1" applyFont="1" applyFill="1" applyBorder="1" applyAlignment="1"/>
    <xf numFmtId="169" fontId="6" fillId="5" borderId="29" xfId="29" applyFont="1" applyFill="1" applyBorder="1"/>
    <xf numFmtId="0" fontId="6" fillId="5" borderId="29" xfId="19" applyFont="1" applyFill="1" applyBorder="1" applyAlignment="1">
      <alignment horizontal="center"/>
    </xf>
    <xf numFmtId="169" fontId="6" fillId="5" borderId="1" xfId="29" applyFont="1" applyFill="1" applyBorder="1"/>
    <xf numFmtId="0" fontId="6" fillId="5" borderId="1" xfId="19" applyFont="1" applyFill="1" applyBorder="1" applyAlignment="1">
      <alignment horizontal="center"/>
    </xf>
    <xf numFmtId="169" fontId="6" fillId="5" borderId="36" xfId="29" applyFont="1" applyFill="1" applyBorder="1"/>
    <xf numFmtId="0" fontId="6" fillId="5" borderId="36" xfId="19" applyFont="1" applyFill="1" applyBorder="1" applyAlignment="1">
      <alignment horizontal="center"/>
    </xf>
    <xf numFmtId="169" fontId="24" fillId="5" borderId="36" xfId="29" applyFont="1" applyFill="1" applyBorder="1" applyAlignment="1">
      <alignment horizontal="right"/>
    </xf>
    <xf numFmtId="169" fontId="24" fillId="5" borderId="39" xfId="29" applyFont="1" applyFill="1" applyBorder="1" applyAlignment="1">
      <alignment horizontal="right"/>
    </xf>
    <xf numFmtId="0" fontId="6" fillId="5" borderId="0" xfId="19" applyFont="1" applyFill="1" applyBorder="1" applyAlignment="1">
      <alignment horizontal="right"/>
    </xf>
    <xf numFmtId="178" fontId="6" fillId="5" borderId="0" xfId="29" applyNumberFormat="1" applyFont="1" applyFill="1" applyBorder="1"/>
    <xf numFmtId="0" fontId="6" fillId="5" borderId="0" xfId="19" applyFont="1" applyFill="1" applyBorder="1" applyAlignment="1">
      <alignment horizontal="center"/>
    </xf>
    <xf numFmtId="169" fontId="6" fillId="5" borderId="0" xfId="29" applyFont="1" applyFill="1" applyBorder="1"/>
    <xf numFmtId="169" fontId="29" fillId="5" borderId="0" xfId="29" applyFont="1" applyFill="1" applyBorder="1"/>
    <xf numFmtId="0" fontId="3" fillId="5" borderId="0" xfId="21" applyFont="1" applyFill="1" applyBorder="1" applyAlignment="1">
      <alignment horizontal="centerContinuous"/>
    </xf>
    <xf numFmtId="0" fontId="4" fillId="5" borderId="28" xfId="21" applyFont="1" applyFill="1" applyBorder="1"/>
    <xf numFmtId="0" fontId="4" fillId="5" borderId="29" xfId="21" applyFont="1" applyFill="1" applyBorder="1"/>
    <xf numFmtId="0" fontId="4" fillId="5" borderId="29" xfId="21" applyFont="1" applyFill="1" applyBorder="1" applyAlignment="1">
      <alignment horizontal="centerContinuous"/>
    </xf>
    <xf numFmtId="39" fontId="4" fillId="5" borderId="29" xfId="21" applyNumberFormat="1" applyFont="1" applyFill="1" applyBorder="1"/>
    <xf numFmtId="39" fontId="4" fillId="5" borderId="38" xfId="21" applyNumberFormat="1" applyFont="1" applyFill="1" applyBorder="1"/>
    <xf numFmtId="0" fontId="4" fillId="5" borderId="34" xfId="21" applyFont="1" applyFill="1" applyBorder="1"/>
    <xf numFmtId="2" fontId="4" fillId="5" borderId="1" xfId="21" applyNumberFormat="1" applyFont="1" applyFill="1" applyBorder="1"/>
    <xf numFmtId="0" fontId="4" fillId="5" borderId="1" xfId="21" applyFont="1" applyFill="1" applyBorder="1" applyAlignment="1">
      <alignment horizontal="centerContinuous"/>
    </xf>
    <xf numFmtId="39" fontId="4" fillId="5" borderId="1" xfId="21" applyNumberFormat="1" applyFont="1" applyFill="1" applyBorder="1"/>
    <xf numFmtId="39" fontId="4" fillId="5" borderId="33" xfId="21" applyNumberFormat="1" applyFont="1" applyFill="1" applyBorder="1"/>
    <xf numFmtId="0" fontId="4" fillId="5" borderId="35" xfId="21" applyFont="1" applyFill="1" applyBorder="1"/>
    <xf numFmtId="0" fontId="4" fillId="5" borderId="36" xfId="21" applyFont="1" applyFill="1" applyBorder="1"/>
    <xf numFmtId="0" fontId="3" fillId="5" borderId="36" xfId="21" applyFont="1" applyFill="1" applyBorder="1" applyAlignment="1">
      <alignment horizontal="right"/>
    </xf>
    <xf numFmtId="39" fontId="3" fillId="5" borderId="39" xfId="21" applyNumberFormat="1" applyFont="1" applyFill="1" applyBorder="1" applyAlignment="1">
      <alignment horizontal="right"/>
    </xf>
    <xf numFmtId="0" fontId="4" fillId="5" borderId="0" xfId="21" applyFont="1" applyFill="1" applyBorder="1"/>
    <xf numFmtId="0" fontId="4" fillId="5" borderId="1" xfId="21" applyFont="1" applyFill="1" applyBorder="1"/>
    <xf numFmtId="0" fontId="4" fillId="5" borderId="1" xfId="21" applyFont="1" applyFill="1" applyBorder="1" applyAlignment="1">
      <alignment horizontal="center"/>
    </xf>
    <xf numFmtId="0" fontId="3" fillId="5" borderId="0" xfId="19" applyFont="1" applyFill="1"/>
    <xf numFmtId="181" fontId="4" fillId="5" borderId="0" xfId="19" applyNumberFormat="1" applyFont="1" applyFill="1"/>
    <xf numFmtId="0" fontId="4" fillId="5" borderId="0" xfId="19" applyFont="1" applyFill="1"/>
    <xf numFmtId="0" fontId="3" fillId="5" borderId="0" xfId="19" applyFont="1" applyFill="1" applyAlignment="1">
      <alignment horizontal="right"/>
    </xf>
    <xf numFmtId="39" fontId="3" fillId="5" borderId="0" xfId="19" applyNumberFormat="1" applyFont="1" applyFill="1" applyAlignment="1">
      <alignment horizontal="right"/>
    </xf>
    <xf numFmtId="0" fontId="4" fillId="5" borderId="28" xfId="19" applyFont="1" applyFill="1" applyBorder="1"/>
    <xf numFmtId="2" fontId="4" fillId="5" borderId="29" xfId="19" applyNumberFormat="1" applyFont="1" applyFill="1" applyBorder="1"/>
    <xf numFmtId="0" fontId="4" fillId="5" borderId="29" xfId="19" applyFont="1" applyFill="1" applyBorder="1" applyAlignment="1">
      <alignment horizontal="centerContinuous"/>
    </xf>
    <xf numFmtId="0" fontId="4" fillId="5" borderId="34" xfId="19" applyFont="1" applyFill="1" applyBorder="1"/>
    <xf numFmtId="2" fontId="4" fillId="5" borderId="1" xfId="19" applyNumberFormat="1" applyFont="1" applyFill="1" applyBorder="1"/>
    <xf numFmtId="0" fontId="4" fillId="5" borderId="1" xfId="19" applyFont="1" applyFill="1" applyBorder="1" applyAlignment="1">
      <alignment horizontal="centerContinuous"/>
    </xf>
    <xf numFmtId="181" fontId="4" fillId="5" borderId="1" xfId="19" applyNumberFormat="1" applyFont="1" applyFill="1" applyBorder="1"/>
    <xf numFmtId="0" fontId="4" fillId="5" borderId="35" xfId="19" applyFont="1" applyFill="1" applyBorder="1"/>
    <xf numFmtId="181" fontId="4" fillId="5" borderId="36" xfId="19" applyNumberFormat="1" applyFont="1" applyFill="1" applyBorder="1"/>
    <xf numFmtId="0" fontId="4" fillId="5" borderId="36" xfId="19" applyFont="1" applyFill="1" applyBorder="1"/>
    <xf numFmtId="0" fontId="3" fillId="5" borderId="36" xfId="19" applyFont="1" applyFill="1" applyBorder="1" applyAlignment="1">
      <alignment horizontal="right"/>
    </xf>
    <xf numFmtId="0" fontId="3" fillId="5" borderId="0" xfId="0" applyFont="1" applyFill="1" applyAlignment="1">
      <alignment horizontal="left"/>
    </xf>
    <xf numFmtId="183" fontId="4" fillId="5" borderId="0" xfId="23" applyNumberFormat="1" applyFont="1" applyFill="1" applyBorder="1"/>
    <xf numFmtId="43" fontId="4" fillId="5" borderId="0" xfId="23" applyFont="1" applyFill="1" applyBorder="1" applyAlignment="1">
      <alignment horizontal="centerContinuous"/>
    </xf>
    <xf numFmtId="43" fontId="3" fillId="5" borderId="0" xfId="23" applyFont="1" applyFill="1" applyBorder="1" applyAlignment="1">
      <alignment horizontal="right"/>
    </xf>
    <xf numFmtId="0" fontId="4" fillId="5" borderId="28" xfId="0" applyFont="1" applyFill="1" applyBorder="1" applyAlignment="1">
      <alignment horizontal="left"/>
    </xf>
    <xf numFmtId="2" fontId="4" fillId="5" borderId="29" xfId="23" applyNumberFormat="1" applyFont="1" applyFill="1" applyBorder="1"/>
    <xf numFmtId="43" fontId="4" fillId="5" borderId="29" xfId="23" applyFont="1" applyFill="1" applyBorder="1" applyAlignment="1">
      <alignment horizontal="centerContinuous"/>
    </xf>
    <xf numFmtId="43" fontId="4" fillId="5" borderId="29" xfId="23" applyFont="1" applyFill="1" applyBorder="1" applyAlignment="1">
      <alignment horizontal="right"/>
    </xf>
    <xf numFmtId="0" fontId="4" fillId="5" borderId="34" xfId="0" applyFont="1" applyFill="1" applyBorder="1" applyAlignment="1">
      <alignment horizontal="left"/>
    </xf>
    <xf numFmtId="4" fontId="4" fillId="5" borderId="1" xfId="23" applyNumberFormat="1" applyFont="1" applyFill="1" applyBorder="1"/>
    <xf numFmtId="43" fontId="4" fillId="5" borderId="1" xfId="23" applyFont="1" applyFill="1" applyBorder="1" applyAlignment="1">
      <alignment horizontal="centerContinuous"/>
    </xf>
    <xf numFmtId="43" fontId="4" fillId="5" borderId="1" xfId="23" applyFont="1" applyFill="1" applyBorder="1" applyAlignment="1">
      <alignment horizontal="right"/>
    </xf>
    <xf numFmtId="0" fontId="4" fillId="5" borderId="46" xfId="0" applyFont="1" applyFill="1" applyBorder="1" applyAlignment="1">
      <alignment horizontal="left"/>
    </xf>
    <xf numFmtId="183" fontId="4" fillId="5" borderId="3" xfId="23" applyNumberFormat="1" applyFont="1" applyFill="1" applyBorder="1"/>
    <xf numFmtId="43" fontId="3" fillId="5" borderId="47" xfId="23" applyFont="1" applyFill="1" applyBorder="1" applyAlignment="1">
      <alignment horizontal="right"/>
    </xf>
    <xf numFmtId="0" fontId="4" fillId="5" borderId="35" xfId="0" applyFont="1" applyFill="1" applyBorder="1" applyAlignment="1">
      <alignment horizontal="left"/>
    </xf>
    <xf numFmtId="183" fontId="4" fillId="5" borderId="36" xfId="23" applyNumberFormat="1" applyFont="1" applyFill="1" applyBorder="1"/>
    <xf numFmtId="43" fontId="3" fillId="5" borderId="39" xfId="23" applyFont="1" applyFill="1" applyBorder="1" applyAlignment="1">
      <alignment horizontal="right"/>
    </xf>
    <xf numFmtId="2" fontId="3" fillId="5" borderId="1" xfId="21" applyNumberFormat="1" applyFont="1" applyFill="1" applyBorder="1" applyAlignment="1"/>
    <xf numFmtId="4" fontId="4" fillId="2" borderId="4" xfId="12" applyNumberFormat="1" applyFont="1" applyFill="1" applyBorder="1" applyAlignment="1" applyProtection="1">
      <alignment horizontal="right" wrapText="1"/>
      <protection locked="0"/>
    </xf>
    <xf numFmtId="4" fontId="3" fillId="2" borderId="4" xfId="12" applyNumberFormat="1" applyFont="1" applyFill="1" applyBorder="1" applyAlignment="1" applyProtection="1">
      <alignment horizontal="right" wrapText="1"/>
      <protection locked="0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0" borderId="0" xfId="0"/>
    <xf numFmtId="0" fontId="0" fillId="0" borderId="1" xfId="0" applyBorder="1"/>
    <xf numFmtId="0" fontId="0" fillId="0" borderId="0" xfId="0"/>
    <xf numFmtId="0" fontId="9" fillId="2" borderId="1" xfId="16" applyFont="1" applyFill="1" applyBorder="1" applyAlignment="1">
      <alignment vertical="top"/>
    </xf>
    <xf numFmtId="0" fontId="5" fillId="2" borderId="1" xfId="16" applyFont="1" applyFill="1" applyBorder="1" applyAlignment="1">
      <alignment horizontal="center" vertical="top"/>
    </xf>
    <xf numFmtId="0" fontId="9" fillId="2" borderId="1" xfId="16" applyFont="1" applyFill="1" applyBorder="1" applyAlignment="1" applyProtection="1">
      <alignment horizontal="left" vertical="top"/>
    </xf>
    <xf numFmtId="184" fontId="9" fillId="2" borderId="1" xfId="16" applyNumberFormat="1" applyFont="1" applyFill="1" applyBorder="1" applyAlignment="1" applyProtection="1">
      <alignment horizontal="right" vertical="top"/>
    </xf>
    <xf numFmtId="0" fontId="9" fillId="2" borderId="1" xfId="16" applyFont="1" applyFill="1" applyBorder="1" applyAlignment="1" applyProtection="1">
      <alignment horizontal="center" vertical="top"/>
    </xf>
    <xf numFmtId="43" fontId="9" fillId="2" borderId="1" xfId="158" applyFont="1" applyFill="1" applyBorder="1" applyAlignment="1">
      <alignment horizontal="right" vertical="top"/>
    </xf>
    <xf numFmtId="0" fontId="9" fillId="2" borderId="1" xfId="16" applyFont="1" applyFill="1" applyBorder="1" applyAlignment="1" applyProtection="1">
      <alignment vertical="top"/>
    </xf>
    <xf numFmtId="184" fontId="9" fillId="2" borderId="1" xfId="16" applyNumberFormat="1" applyFont="1" applyFill="1" applyBorder="1" applyAlignment="1" applyProtection="1">
      <alignment vertical="top"/>
    </xf>
    <xf numFmtId="43" fontId="5" fillId="2" borderId="1" xfId="158" applyFont="1" applyFill="1" applyBorder="1" applyAlignment="1">
      <alignment horizontal="right" vertical="top"/>
    </xf>
    <xf numFmtId="43" fontId="5" fillId="2" borderId="1" xfId="158" applyFont="1" applyFill="1" applyBorder="1" applyAlignment="1">
      <alignment vertical="top"/>
    </xf>
    <xf numFmtId="0" fontId="5" fillId="2" borderId="1" xfId="157" applyFont="1" applyFill="1" applyBorder="1" applyAlignment="1">
      <alignment vertical="top"/>
    </xf>
    <xf numFmtId="43" fontId="9" fillId="2" borderId="1" xfId="158" applyFont="1" applyFill="1" applyBorder="1" applyAlignment="1">
      <alignment vertical="top"/>
    </xf>
    <xf numFmtId="0" fontId="9" fillId="2" borderId="1" xfId="157" applyFont="1" applyFill="1" applyBorder="1" applyAlignment="1">
      <alignment vertical="top"/>
    </xf>
    <xf numFmtId="164" fontId="5" fillId="2" borderId="1" xfId="16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9" fillId="2" borderId="1" xfId="16" applyFont="1" applyFill="1" applyBorder="1"/>
    <xf numFmtId="0" fontId="5" fillId="2" borderId="1" xfId="16" applyFont="1" applyFill="1" applyBorder="1" applyAlignment="1">
      <alignment horizontal="center"/>
    </xf>
    <xf numFmtId="0" fontId="9" fillId="2" borderId="1" xfId="16" applyFont="1" applyFill="1" applyBorder="1" applyAlignment="1" applyProtection="1">
      <alignment horizontal="left"/>
    </xf>
    <xf numFmtId="184" fontId="9" fillId="2" borderId="1" xfId="16" applyNumberFormat="1" applyFont="1" applyFill="1" applyBorder="1" applyAlignment="1" applyProtection="1">
      <alignment horizontal="right"/>
    </xf>
    <xf numFmtId="0" fontId="9" fillId="2" borderId="1" xfId="16" applyFont="1" applyFill="1" applyBorder="1" applyAlignment="1" applyProtection="1">
      <alignment horizontal="center"/>
    </xf>
    <xf numFmtId="43" fontId="9" fillId="2" borderId="1" xfId="158" applyFont="1" applyFill="1" applyBorder="1" applyAlignment="1">
      <alignment horizontal="right"/>
    </xf>
    <xf numFmtId="0" fontId="9" fillId="2" borderId="1" xfId="16" applyFont="1" applyFill="1" applyBorder="1" applyProtection="1"/>
    <xf numFmtId="184" fontId="9" fillId="2" borderId="1" xfId="16" applyNumberFormat="1" applyFont="1" applyFill="1" applyBorder="1" applyProtection="1"/>
    <xf numFmtId="43" fontId="5" fillId="2" borderId="1" xfId="158" applyFont="1" applyFill="1" applyBorder="1" applyAlignment="1">
      <alignment horizontal="right"/>
    </xf>
    <xf numFmtId="43" fontId="5" fillId="2" borderId="1" xfId="158" applyFont="1" applyFill="1" applyBorder="1" applyAlignment="1"/>
    <xf numFmtId="0" fontId="5" fillId="2" borderId="1" xfId="157" applyFont="1" applyFill="1" applyBorder="1"/>
    <xf numFmtId="43" fontId="5" fillId="2" borderId="1" xfId="158" applyFont="1" applyFill="1" applyBorder="1"/>
    <xf numFmtId="43" fontId="9" fillId="2" borderId="1" xfId="158" applyFont="1" applyFill="1" applyBorder="1"/>
    <xf numFmtId="0" fontId="9" fillId="2" borderId="1" xfId="157" applyFont="1" applyFill="1" applyBorder="1"/>
    <xf numFmtId="164" fontId="5" fillId="2" borderId="1" xfId="16" applyNumberFormat="1" applyFont="1" applyFill="1" applyBorder="1" applyAlignment="1">
      <alignment horizontal="right"/>
    </xf>
    <xf numFmtId="169" fontId="3" fillId="0" borderId="1" xfId="0" applyNumberFormat="1" applyFont="1" applyBorder="1"/>
    <xf numFmtId="169" fontId="0" fillId="2" borderId="0" xfId="0" applyNumberFormat="1" applyFill="1"/>
    <xf numFmtId="0" fontId="83" fillId="2" borderId="1" xfId="19" applyFont="1" applyFill="1" applyBorder="1" applyAlignment="1">
      <alignment horizontal="left"/>
    </xf>
    <xf numFmtId="0" fontId="83" fillId="2" borderId="1" xfId="19" applyFont="1" applyFill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0" fillId="0" borderId="0" xfId="0"/>
    <xf numFmtId="0" fontId="0" fillId="0" borderId="0" xfId="0"/>
    <xf numFmtId="39" fontId="3" fillId="18" borderId="39" xfId="21" applyNumberFormat="1" applyFont="1" applyFill="1" applyBorder="1" applyAlignment="1">
      <alignment horizontal="right"/>
    </xf>
    <xf numFmtId="0" fontId="3" fillId="18" borderId="36" xfId="21" applyFont="1" applyFill="1" applyBorder="1" applyAlignment="1">
      <alignment horizontal="right"/>
    </xf>
    <xf numFmtId="0" fontId="4" fillId="18" borderId="36" xfId="21" applyFont="1" applyFill="1" applyBorder="1"/>
    <xf numFmtId="0" fontId="4" fillId="18" borderId="35" xfId="21" applyFont="1" applyFill="1" applyBorder="1"/>
    <xf numFmtId="39" fontId="4" fillId="18" borderId="33" xfId="21" applyNumberFormat="1" applyFont="1" applyFill="1" applyBorder="1"/>
    <xf numFmtId="39" fontId="4" fillId="18" borderId="1" xfId="21" applyNumberFormat="1" applyFont="1" applyFill="1" applyBorder="1"/>
    <xf numFmtId="0" fontId="4" fillId="18" borderId="1" xfId="21" applyFont="1" applyFill="1" applyBorder="1" applyAlignment="1">
      <alignment horizontal="center"/>
    </xf>
    <xf numFmtId="2" fontId="4" fillId="18" borderId="1" xfId="21" applyNumberFormat="1" applyFont="1" applyFill="1" applyBorder="1"/>
    <xf numFmtId="0" fontId="4" fillId="18" borderId="34" xfId="21" applyFont="1" applyFill="1" applyBorder="1"/>
    <xf numFmtId="4" fontId="34" fillId="18" borderId="0" xfId="19" applyNumberFormat="1" applyFont="1" applyFill="1" applyBorder="1" applyAlignment="1">
      <alignment horizontal="right"/>
    </xf>
    <xf numFmtId="4" fontId="3" fillId="18" borderId="0" xfId="28" applyNumberFormat="1" applyFont="1" applyFill="1" applyBorder="1" applyAlignment="1">
      <alignment horizontal="right"/>
    </xf>
    <xf numFmtId="0" fontId="10" fillId="18" borderId="0" xfId="19" applyFont="1" applyFill="1" applyBorder="1"/>
    <xf numFmtId="4" fontId="3" fillId="18" borderId="1" xfId="171" applyNumberFormat="1" applyFont="1" applyFill="1" applyBorder="1" applyAlignment="1">
      <alignment wrapText="1"/>
    </xf>
    <xf numFmtId="0" fontId="3" fillId="18" borderId="1" xfId="171" applyFont="1" applyFill="1" applyBorder="1"/>
    <xf numFmtId="4" fontId="3" fillId="18" borderId="1" xfId="171" applyNumberFormat="1" applyFont="1" applyFill="1" applyBorder="1" applyAlignment="1">
      <alignment horizontal="right" wrapText="1"/>
    </xf>
    <xf numFmtId="4" fontId="3" fillId="18" borderId="1" xfId="171" applyNumberFormat="1" applyFont="1" applyFill="1" applyBorder="1" applyAlignment="1">
      <alignment horizontal="right"/>
    </xf>
    <xf numFmtId="2" fontId="4" fillId="18" borderId="1" xfId="171" applyNumberFormat="1" applyFont="1" applyFill="1" applyBorder="1" applyAlignment="1">
      <alignment horizontal="center"/>
    </xf>
    <xf numFmtId="2" fontId="4" fillId="18" borderId="1" xfId="171" applyNumberFormat="1" applyFont="1" applyFill="1" applyBorder="1" applyAlignment="1">
      <alignment horizontal="centerContinuous"/>
    </xf>
    <xf numFmtId="2" fontId="4" fillId="18" borderId="1" xfId="171" applyNumberFormat="1" applyFont="1" applyFill="1" applyBorder="1"/>
    <xf numFmtId="4" fontId="4" fillId="18" borderId="1" xfId="171" applyNumberFormat="1" applyFont="1" applyFill="1" applyBorder="1"/>
    <xf numFmtId="0" fontId="4" fillId="18" borderId="1" xfId="171" applyFont="1" applyFill="1" applyBorder="1"/>
    <xf numFmtId="49" fontId="4" fillId="18" borderId="4" xfId="3" applyNumberFormat="1" applyFont="1" applyFill="1" applyBorder="1" applyAlignment="1">
      <alignment horizontal="left" vertical="top" wrapText="1"/>
    </xf>
    <xf numFmtId="0" fontId="4" fillId="0" borderId="0" xfId="171"/>
    <xf numFmtId="0" fontId="3" fillId="0" borderId="0" xfId="171" applyFont="1" applyFill="1"/>
    <xf numFmtId="49" fontId="4" fillId="5" borderId="4" xfId="3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169" fontId="3" fillId="0" borderId="0" xfId="0" applyNumberFormat="1" applyFont="1" applyBorder="1"/>
    <xf numFmtId="0" fontId="25" fillId="2" borderId="0" xfId="19" applyFont="1" applyFill="1" applyBorder="1" applyAlignment="1">
      <alignment horizontal="left"/>
    </xf>
    <xf numFmtId="49" fontId="4" fillId="2" borderId="0" xfId="3" applyNumberFormat="1" applyFont="1" applyFill="1" applyBorder="1" applyAlignment="1">
      <alignment horizontal="left" vertical="top" wrapText="1"/>
    </xf>
    <xf numFmtId="0" fontId="6" fillId="3" borderId="46" xfId="19" applyFont="1" applyFill="1" applyBorder="1"/>
    <xf numFmtId="4" fontId="6" fillId="3" borderId="3" xfId="19" applyNumberFormat="1" applyFont="1" applyFill="1" applyBorder="1"/>
    <xf numFmtId="0" fontId="6" fillId="3" borderId="3" xfId="19" applyFont="1" applyFill="1" applyBorder="1" applyAlignment="1">
      <alignment horizontal="center"/>
    </xf>
    <xf numFmtId="4" fontId="6" fillId="3" borderId="47" xfId="20" applyNumberFormat="1" applyFont="1" applyFill="1" applyBorder="1"/>
    <xf numFmtId="0" fontId="3" fillId="3" borderId="0" xfId="21" applyFont="1" applyFill="1" applyBorder="1" applyAlignment="1"/>
    <xf numFmtId="0" fontId="4" fillId="3" borderId="28" xfId="219" applyFont="1" applyFill="1" applyBorder="1"/>
    <xf numFmtId="2" fontId="4" fillId="3" borderId="29" xfId="219" applyNumberFormat="1" applyFont="1" applyFill="1" applyBorder="1" applyAlignment="1">
      <alignment horizontal="center"/>
    </xf>
    <xf numFmtId="0" fontId="4" fillId="3" borderId="29" xfId="219" applyFont="1" applyFill="1" applyBorder="1" applyAlignment="1">
      <alignment horizontal="center"/>
    </xf>
    <xf numFmtId="4" fontId="4" fillId="3" borderId="29" xfId="219" applyNumberFormat="1" applyFont="1" applyFill="1" applyBorder="1" applyAlignment="1">
      <alignment horizontal="right"/>
    </xf>
    <xf numFmtId="4" fontId="4" fillId="3" borderId="38" xfId="219" applyNumberFormat="1" applyFont="1" applyFill="1" applyBorder="1"/>
    <xf numFmtId="0" fontId="4" fillId="3" borderId="34" xfId="219" applyFont="1" applyFill="1" applyBorder="1"/>
    <xf numFmtId="2" fontId="4" fillId="3" borderId="1" xfId="219" applyNumberFormat="1" applyFont="1" applyFill="1" applyBorder="1" applyAlignment="1">
      <alignment horizontal="center"/>
    </xf>
    <xf numFmtId="0" fontId="4" fillId="3" borderId="1" xfId="219" applyFont="1" applyFill="1" applyBorder="1" applyAlignment="1">
      <alignment horizontal="center"/>
    </xf>
    <xf numFmtId="4" fontId="4" fillId="3" borderId="1" xfId="219" applyNumberFormat="1" applyFont="1" applyFill="1" applyBorder="1" applyAlignment="1">
      <alignment horizontal="right"/>
    </xf>
    <xf numFmtId="4" fontId="4" fillId="3" borderId="33" xfId="219" applyNumberFormat="1" applyFont="1" applyFill="1" applyBorder="1"/>
    <xf numFmtId="0" fontId="4" fillId="3" borderId="34" xfId="219" quotePrefix="1" applyFont="1" applyFill="1" applyBorder="1" applyAlignment="1">
      <alignment horizontal="left"/>
    </xf>
    <xf numFmtId="0" fontId="3" fillId="13" borderId="34" xfId="219" applyFont="1" applyFill="1" applyBorder="1"/>
    <xf numFmtId="0" fontId="3" fillId="3" borderId="35" xfId="219" applyFont="1" applyFill="1" applyBorder="1" applyAlignment="1">
      <alignment horizontal="left"/>
    </xf>
    <xf numFmtId="0" fontId="3" fillId="3" borderId="36" xfId="219" applyFont="1" applyFill="1" applyBorder="1" applyAlignment="1">
      <alignment horizontal="left"/>
    </xf>
    <xf numFmtId="4" fontId="3" fillId="3" borderId="39" xfId="219" applyNumberFormat="1" applyFont="1" applyFill="1" applyBorder="1" applyAlignment="1"/>
    <xf numFmtId="0" fontId="16" fillId="3" borderId="0" xfId="0" applyFont="1" applyFill="1" applyBorder="1" applyAlignment="1">
      <alignment horizontal="center"/>
    </xf>
    <xf numFmtId="0" fontId="0" fillId="0" borderId="0" xfId="0"/>
    <xf numFmtId="168" fontId="4" fillId="0" borderId="0" xfId="0" applyNumberFormat="1" applyFont="1"/>
    <xf numFmtId="168" fontId="3" fillId="3" borderId="0" xfId="0" applyNumberFormat="1" applyFont="1" applyFill="1"/>
    <xf numFmtId="0" fontId="22" fillId="37" borderId="0" xfId="0" applyFont="1" applyFill="1" applyBorder="1"/>
    <xf numFmtId="0" fontId="22" fillId="2" borderId="0" xfId="39" applyFont="1" applyFill="1"/>
    <xf numFmtId="0" fontId="84" fillId="7" borderId="4" xfId="0" applyFont="1" applyFill="1" applyBorder="1"/>
    <xf numFmtId="0" fontId="22" fillId="3" borderId="0" xfId="0" applyFont="1" applyFill="1" applyBorder="1" applyAlignment="1">
      <alignment vertical="top"/>
    </xf>
    <xf numFmtId="0" fontId="84" fillId="7" borderId="0" xfId="0" applyFont="1" applyFill="1" applyBorder="1"/>
    <xf numFmtId="0" fontId="85" fillId="2" borderId="0" xfId="0" applyFont="1" applyFill="1" applyBorder="1"/>
    <xf numFmtId="0" fontId="22" fillId="7" borderId="0" xfId="0" applyFont="1" applyFill="1" applyBorder="1" applyAlignment="1">
      <alignment vertical="top"/>
    </xf>
    <xf numFmtId="0" fontId="22" fillId="7" borderId="0" xfId="0" applyFont="1" applyFill="1" applyAlignment="1">
      <alignment vertical="top"/>
    </xf>
    <xf numFmtId="0" fontId="85" fillId="38" borderId="0" xfId="0" applyFont="1" applyFill="1" applyBorder="1"/>
    <xf numFmtId="0" fontId="22" fillId="2" borderId="0" xfId="0" applyFont="1" applyFill="1" applyBorder="1"/>
    <xf numFmtId="0" fontId="84" fillId="2" borderId="0" xfId="0" applyFont="1" applyFill="1" applyBorder="1"/>
    <xf numFmtId="0" fontId="85" fillId="5" borderId="0" xfId="0" applyFont="1" applyFill="1" applyBorder="1"/>
    <xf numFmtId="0" fontId="22" fillId="3" borderId="0" xfId="0" applyFont="1" applyFill="1" applyAlignment="1">
      <alignment vertical="top"/>
    </xf>
    <xf numFmtId="2" fontId="4" fillId="0" borderId="1" xfId="0" applyNumberFormat="1" applyFont="1" applyFill="1" applyBorder="1"/>
    <xf numFmtId="0" fontId="3" fillId="2" borderId="0" xfId="0" applyFont="1" applyFill="1" applyAlignment="1">
      <alignment horizontal="center" vertical="top" wrapText="1"/>
    </xf>
    <xf numFmtId="0" fontId="4" fillId="2" borderId="19" xfId="0" applyFont="1" applyFill="1" applyBorder="1" applyAlignment="1">
      <alignment horizontal="left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/>
    </xf>
    <xf numFmtId="0" fontId="0" fillId="0" borderId="0" xfId="0"/>
    <xf numFmtId="0" fontId="4" fillId="5" borderId="0" xfId="0" applyFont="1" applyFill="1" applyAlignment="1">
      <alignment vertical="top" wrapText="1"/>
    </xf>
    <xf numFmtId="0" fontId="4" fillId="5" borderId="0" xfId="0" applyFont="1" applyFill="1" applyAlignment="1">
      <alignment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8" fontId="17" fillId="3" borderId="0" xfId="0" applyNumberFormat="1" applyFont="1" applyFill="1" applyAlignment="1">
      <alignment horizontal="left"/>
    </xf>
    <xf numFmtId="0" fontId="16" fillId="3" borderId="0" xfId="0" applyFont="1" applyFill="1" applyBorder="1" applyAlignment="1">
      <alignment horizontal="center"/>
    </xf>
    <xf numFmtId="0" fontId="24" fillId="14" borderId="36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7" fillId="12" borderId="0" xfId="19" applyFont="1" applyFill="1" applyAlignment="1">
      <alignment horizontal="center"/>
    </xf>
    <xf numFmtId="0" fontId="29" fillId="12" borderId="25" xfId="0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3" fillId="3" borderId="36" xfId="0" applyNumberFormat="1" applyFont="1" applyFill="1" applyBorder="1" applyAlignment="1">
      <alignment horizontal="right"/>
    </xf>
    <xf numFmtId="0" fontId="82" fillId="2" borderId="18" xfId="16" applyNumberFormat="1" applyFont="1" applyFill="1" applyBorder="1" applyAlignment="1" applyProtection="1">
      <alignment horizontal="left" vertical="top" wrapText="1"/>
    </xf>
    <xf numFmtId="0" fontId="82" fillId="2" borderId="60" xfId="16" applyNumberFormat="1" applyFont="1" applyFill="1" applyBorder="1" applyAlignment="1" applyProtection="1">
      <alignment horizontal="left" vertical="top" wrapText="1"/>
    </xf>
    <xf numFmtId="0" fontId="82" fillId="2" borderId="2" xfId="16" applyNumberFormat="1" applyFont="1" applyFill="1" applyBorder="1" applyAlignment="1" applyProtection="1">
      <alignment horizontal="left" vertical="top" wrapText="1"/>
    </xf>
    <xf numFmtId="0" fontId="24" fillId="14" borderId="36" xfId="218" applyFont="1" applyFill="1" applyBorder="1" applyAlignment="1">
      <alignment horizontal="center"/>
    </xf>
    <xf numFmtId="0" fontId="24" fillId="14" borderId="36" xfId="0" applyFont="1" applyFill="1" applyBorder="1" applyAlignment="1">
      <alignment horizontal="center" vertical="top"/>
    </xf>
    <xf numFmtId="0" fontId="0" fillId="0" borderId="1" xfId="0" applyBorder="1"/>
    <xf numFmtId="0" fontId="18" fillId="10" borderId="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left" wrapText="1"/>
    </xf>
    <xf numFmtId="183" fontId="3" fillId="5" borderId="18" xfId="23" quotePrefix="1" applyNumberFormat="1" applyFont="1" applyFill="1" applyBorder="1" applyAlignment="1">
      <alignment horizontal="right"/>
    </xf>
    <xf numFmtId="183" fontId="3" fillId="5" borderId="2" xfId="23" quotePrefix="1" applyNumberFormat="1" applyFont="1" applyFill="1" applyBorder="1" applyAlignment="1">
      <alignment horizontal="right"/>
    </xf>
    <xf numFmtId="183" fontId="3" fillId="5" borderId="48" xfId="23" quotePrefix="1" applyNumberFormat="1" applyFont="1" applyFill="1" applyBorder="1" applyAlignment="1">
      <alignment horizontal="right"/>
    </xf>
    <xf numFmtId="183" fontId="3" fillId="5" borderId="49" xfId="23" quotePrefix="1" applyNumberFormat="1" applyFont="1" applyFill="1" applyBorder="1" applyAlignment="1">
      <alignment horizontal="right"/>
    </xf>
    <xf numFmtId="0" fontId="3" fillId="3" borderId="48" xfId="19" applyFont="1" applyFill="1" applyBorder="1" applyAlignment="1">
      <alignment horizontal="right"/>
    </xf>
    <xf numFmtId="0" fontId="3" fillId="3" borderId="49" xfId="19" applyFont="1" applyFill="1" applyBorder="1" applyAlignment="1">
      <alignment horizontal="right"/>
    </xf>
    <xf numFmtId="0" fontId="3" fillId="3" borderId="22" xfId="19" applyFont="1" applyFill="1" applyBorder="1" applyAlignment="1">
      <alignment horizontal="right"/>
    </xf>
    <xf numFmtId="0" fontId="25" fillId="8" borderId="0" xfId="19" applyFont="1" applyFill="1" applyAlignment="1">
      <alignment horizontal="center"/>
    </xf>
    <xf numFmtId="4" fontId="3" fillId="3" borderId="18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82" fillId="2" borderId="18" xfId="16" applyNumberFormat="1" applyFont="1" applyFill="1" applyBorder="1" applyAlignment="1" applyProtection="1">
      <alignment horizontal="left" wrapText="1"/>
    </xf>
    <xf numFmtId="0" fontId="82" fillId="2" borderId="60" xfId="16" applyNumberFormat="1" applyFont="1" applyFill="1" applyBorder="1" applyAlignment="1" applyProtection="1">
      <alignment horizontal="left" wrapText="1"/>
    </xf>
    <xf numFmtId="0" fontId="82" fillId="2" borderId="2" xfId="16" applyNumberFormat="1" applyFont="1" applyFill="1" applyBorder="1" applyAlignment="1" applyProtection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5" borderId="19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16" borderId="18" xfId="0" applyFont="1" applyFill="1" applyBorder="1" applyAlignment="1">
      <alignment horizontal="right"/>
    </xf>
    <xf numFmtId="0" fontId="3" fillId="16" borderId="60" xfId="0" applyFont="1" applyFill="1" applyBorder="1" applyAlignment="1">
      <alignment horizontal="right"/>
    </xf>
    <xf numFmtId="0" fontId="3" fillId="16" borderId="2" xfId="0" applyFont="1" applyFill="1" applyBorder="1" applyAlignment="1">
      <alignment horizontal="right"/>
    </xf>
    <xf numFmtId="0" fontId="25" fillId="13" borderId="0" xfId="19" applyFont="1" applyFill="1" applyAlignment="1">
      <alignment horizontal="center"/>
    </xf>
    <xf numFmtId="0" fontId="3" fillId="3" borderId="0" xfId="28" applyFont="1" applyFill="1" applyAlignment="1">
      <alignment horizontal="left" vertical="top" wrapText="1"/>
    </xf>
    <xf numFmtId="0" fontId="27" fillId="13" borderId="0" xfId="19" applyFont="1" applyFill="1" applyAlignment="1">
      <alignment horizontal="center"/>
    </xf>
    <xf numFmtId="0" fontId="24" fillId="12" borderId="0" xfId="19" applyFont="1" applyFill="1" applyAlignment="1">
      <alignment horizontal="center" vertical="top"/>
    </xf>
    <xf numFmtId="0" fontId="49" fillId="0" borderId="43" xfId="0" applyFont="1" applyFill="1" applyBorder="1" applyAlignment="1">
      <alignment horizontal="center"/>
    </xf>
    <xf numFmtId="0" fontId="49" fillId="0" borderId="44" xfId="0" applyFont="1" applyFill="1" applyBorder="1" applyAlignment="1">
      <alignment horizontal="center"/>
    </xf>
    <xf numFmtId="0" fontId="49" fillId="0" borderId="45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top" wrapText="1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 wrapText="1"/>
    </xf>
    <xf numFmtId="0" fontId="5" fillId="2" borderId="0" xfId="0" applyFont="1" applyFill="1" applyAlignment="1" applyProtection="1">
      <alignment vertical="top" wrapText="1"/>
    </xf>
    <xf numFmtId="4" fontId="4" fillId="2" borderId="0" xfId="0" applyNumberFormat="1" applyFont="1" applyFill="1" applyAlignment="1" applyProtection="1">
      <alignment vertical="top" wrapText="1"/>
    </xf>
    <xf numFmtId="0" fontId="49" fillId="2" borderId="1" xfId="0" applyFont="1" applyFill="1" applyBorder="1" applyAlignment="1" applyProtection="1">
      <alignment horizontal="center" vertical="center" wrapText="1"/>
    </xf>
    <xf numFmtId="4" fontId="49" fillId="2" borderId="1" xfId="0" applyNumberFormat="1" applyFont="1" applyFill="1" applyBorder="1" applyAlignment="1" applyProtection="1">
      <alignment horizontal="center" vertical="center" wrapText="1"/>
    </xf>
    <xf numFmtId="4" fontId="49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</xf>
    <xf numFmtId="168" fontId="3" fillId="2" borderId="4" xfId="0" applyNumberFormat="1" applyFont="1" applyFill="1" applyBorder="1" applyAlignment="1" applyProtection="1">
      <alignment horizontal="center" vertical="top" wrapText="1"/>
    </xf>
    <xf numFmtId="4" fontId="3" fillId="2" borderId="4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168" fontId="4" fillId="2" borderId="4" xfId="0" applyNumberFormat="1" applyFont="1" applyFill="1" applyBorder="1" applyAlignment="1" applyProtection="1">
      <alignment vertical="top" wrapText="1"/>
    </xf>
    <xf numFmtId="168" fontId="4" fillId="2" borderId="4" xfId="0" applyNumberFormat="1" applyFont="1" applyFill="1" applyBorder="1" applyAlignment="1" applyProtection="1">
      <alignment horizontal="center" vertical="top" wrapText="1"/>
    </xf>
    <xf numFmtId="4" fontId="4" fillId="2" borderId="4" xfId="0" applyNumberFormat="1" applyFont="1" applyFill="1" applyBorder="1" applyAlignment="1" applyProtection="1">
      <alignment vertical="top" wrapText="1"/>
    </xf>
    <xf numFmtId="0" fontId="3" fillId="2" borderId="4" xfId="148" applyFont="1" applyFill="1" applyBorder="1" applyAlignment="1" applyProtection="1">
      <alignment horizontal="left" vertical="top" wrapText="1"/>
    </xf>
    <xf numFmtId="4" fontId="4" fillId="2" borderId="4" xfId="0" applyNumberFormat="1" applyFont="1" applyFill="1" applyBorder="1" applyProtection="1"/>
    <xf numFmtId="4" fontId="4" fillId="2" borderId="4" xfId="0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wrapText="1"/>
    </xf>
    <xf numFmtId="168" fontId="4" fillId="2" borderId="4" xfId="0" applyNumberFormat="1" applyFont="1" applyFill="1" applyBorder="1" applyAlignment="1" applyProtection="1">
      <alignment wrapText="1"/>
    </xf>
    <xf numFmtId="168" fontId="4" fillId="2" borderId="4" xfId="0" applyNumberFormat="1" applyFont="1" applyFill="1" applyBorder="1" applyAlignment="1" applyProtection="1">
      <alignment horizontal="center" wrapText="1"/>
    </xf>
    <xf numFmtId="0" fontId="4" fillId="2" borderId="4" xfId="109" applyFont="1" applyFill="1" applyBorder="1" applyAlignment="1" applyProtection="1">
      <alignment vertical="top" wrapText="1"/>
    </xf>
    <xf numFmtId="0" fontId="3" fillId="2" borderId="4" xfId="0" applyFont="1" applyFill="1" applyBorder="1" applyAlignment="1" applyProtection="1">
      <alignment horizontal="right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168" fontId="3" fillId="2" borderId="4" xfId="0" applyNumberFormat="1" applyFont="1" applyFill="1" applyBorder="1" applyAlignment="1" applyProtection="1">
      <alignment vertical="top" wrapText="1"/>
    </xf>
    <xf numFmtId="0" fontId="4" fillId="34" borderId="4" xfId="109" applyFont="1" applyFill="1" applyBorder="1" applyAlignment="1" applyProtection="1">
      <alignment horizontal="right" vertical="top" wrapText="1"/>
    </xf>
    <xf numFmtId="0" fontId="4" fillId="34" borderId="4" xfId="109" applyFont="1" applyFill="1" applyBorder="1" applyAlignment="1" applyProtection="1">
      <alignment vertical="top" wrapText="1"/>
    </xf>
    <xf numFmtId="49" fontId="4" fillId="34" borderId="4" xfId="109" applyNumberFormat="1" applyFont="1" applyFill="1" applyBorder="1" applyAlignment="1" applyProtection="1">
      <alignment horizontal="left" vertical="top" wrapText="1"/>
    </xf>
    <xf numFmtId="0" fontId="4" fillId="2" borderId="4" xfId="0" applyNumberFormat="1" applyFont="1" applyFill="1" applyBorder="1" applyAlignment="1" applyProtection="1">
      <alignment vertical="top" wrapText="1"/>
    </xf>
    <xf numFmtId="168" fontId="4" fillId="2" borderId="0" xfId="0" applyNumberFormat="1" applyFont="1" applyFill="1" applyAlignment="1" applyProtection="1">
      <alignment vertical="top" wrapText="1"/>
    </xf>
    <xf numFmtId="0" fontId="4" fillId="2" borderId="5" xfId="0" applyFont="1" applyFill="1" applyBorder="1" applyAlignment="1" applyProtection="1">
      <alignment horizontal="right" vertical="top" wrapText="1"/>
    </xf>
    <xf numFmtId="0" fontId="4" fillId="2" borderId="5" xfId="0" applyFont="1" applyFill="1" applyBorder="1" applyAlignment="1" applyProtection="1">
      <alignment wrapText="1"/>
    </xf>
    <xf numFmtId="168" fontId="4" fillId="2" borderId="5" xfId="0" applyNumberFormat="1" applyFont="1" applyFill="1" applyBorder="1" applyAlignment="1" applyProtection="1">
      <alignment vertical="top" wrapText="1"/>
    </xf>
    <xf numFmtId="168" fontId="4" fillId="2" borderId="5" xfId="0" applyNumberFormat="1" applyFont="1" applyFill="1" applyBorder="1" applyAlignment="1" applyProtection="1">
      <alignment horizontal="center" vertical="top" wrapText="1"/>
    </xf>
    <xf numFmtId="2" fontId="4" fillId="2" borderId="4" xfId="0" applyNumberFormat="1" applyFont="1" applyFill="1" applyBorder="1" applyAlignment="1" applyProtection="1">
      <alignment horizontal="right" vertical="top" wrapText="1"/>
    </xf>
    <xf numFmtId="0" fontId="4" fillId="2" borderId="4" xfId="0" applyFont="1" applyFill="1" applyBorder="1" applyAlignment="1" applyProtection="1">
      <alignment horizontal="right" wrapText="1"/>
    </xf>
    <xf numFmtId="0" fontId="3" fillId="2" borderId="4" xfId="0" applyFont="1" applyFill="1" applyBorder="1" applyAlignment="1" applyProtection="1"/>
    <xf numFmtId="0" fontId="4" fillId="2" borderId="4" xfId="0" applyFont="1" applyFill="1" applyBorder="1" applyAlignment="1" applyProtection="1"/>
    <xf numFmtId="168" fontId="4" fillId="2" borderId="4" xfId="0" applyNumberFormat="1" applyFont="1" applyFill="1" applyBorder="1" applyAlignment="1" applyProtection="1">
      <alignment vertical="center" wrapText="1"/>
    </xf>
    <xf numFmtId="168" fontId="4" fillId="2" borderId="4" xfId="0" applyNumberFormat="1" applyFont="1" applyFill="1" applyBorder="1" applyAlignment="1" applyProtection="1">
      <alignment horizontal="center" vertical="center" wrapText="1"/>
    </xf>
    <xf numFmtId="168" fontId="4" fillId="2" borderId="5" xfId="0" applyNumberFormat="1" applyFont="1" applyFill="1" applyBorder="1" applyAlignment="1" applyProtection="1">
      <alignment wrapText="1"/>
    </xf>
    <xf numFmtId="168" fontId="4" fillId="2" borderId="5" xfId="0" applyNumberFormat="1" applyFont="1" applyFill="1" applyBorder="1" applyAlignment="1" applyProtection="1">
      <alignment horizontal="center" wrapText="1"/>
    </xf>
    <xf numFmtId="0" fontId="4" fillId="2" borderId="4" xfId="6" applyFont="1" applyFill="1" applyBorder="1" applyAlignment="1" applyProtection="1">
      <alignment horizontal="left" vertical="justify" wrapText="1"/>
    </xf>
    <xf numFmtId="168" fontId="4" fillId="2" borderId="4" xfId="0" applyNumberFormat="1" applyFont="1" applyFill="1" applyBorder="1" applyAlignment="1" applyProtection="1">
      <alignment horizontal="right" vertical="center" wrapText="1"/>
    </xf>
    <xf numFmtId="4" fontId="4" fillId="2" borderId="4" xfId="0" applyNumberFormat="1" applyFont="1" applyFill="1" applyBorder="1" applyAlignment="1" applyProtection="1">
      <alignment horizontal="right" vertical="center" wrapText="1"/>
    </xf>
    <xf numFmtId="1" fontId="3" fillId="2" borderId="4" xfId="1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wrapText="1"/>
    </xf>
    <xf numFmtId="4" fontId="4" fillId="2" borderId="4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170" fontId="4" fillId="2" borderId="4" xfId="11" applyNumberFormat="1" applyFont="1" applyFill="1" applyBorder="1" applyAlignment="1" applyProtection="1">
      <alignment vertical="top"/>
    </xf>
    <xf numFmtId="168" fontId="3" fillId="2" borderId="4" xfId="0" applyNumberFormat="1" applyFont="1" applyFill="1" applyBorder="1" applyAlignment="1" applyProtection="1">
      <alignment horizontal="right" vertical="top"/>
    </xf>
    <xf numFmtId="168" fontId="3" fillId="2" borderId="4" xfId="0" applyNumberFormat="1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left" vertical="center" wrapText="1"/>
    </xf>
    <xf numFmtId="168" fontId="4" fillId="2" borderId="4" xfId="0" applyNumberFormat="1" applyFont="1" applyFill="1" applyBorder="1" applyAlignment="1" applyProtection="1">
      <alignment horizontal="right" vertical="center"/>
    </xf>
    <xf numFmtId="168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horizontal="left" vertical="center"/>
    </xf>
    <xf numFmtId="43" fontId="4" fillId="2" borderId="4" xfId="0" applyNumberFormat="1" applyFont="1" applyFill="1" applyBorder="1" applyAlignment="1" applyProtection="1">
      <alignment horizontal="center" vertical="center" wrapText="1"/>
    </xf>
    <xf numFmtId="170" fontId="3" fillId="2" borderId="4" xfId="11" applyNumberFormat="1" applyFont="1" applyFill="1" applyBorder="1" applyAlignment="1" applyProtection="1">
      <alignment vertical="top"/>
    </xf>
    <xf numFmtId="0" fontId="3" fillId="2" borderId="4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Protection="1"/>
    <xf numFmtId="0" fontId="4" fillId="2" borderId="5" xfId="0" applyFont="1" applyFill="1" applyBorder="1" applyAlignment="1" applyProtection="1">
      <alignment horizontal="right"/>
    </xf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>
      <alignment horizontal="right" vertical="top"/>
    </xf>
    <xf numFmtId="4" fontId="4" fillId="2" borderId="4" xfId="0" applyNumberFormat="1" applyFont="1" applyFill="1" applyBorder="1" applyAlignment="1" applyProtection="1"/>
    <xf numFmtId="168" fontId="4" fillId="2" borderId="4" xfId="5" applyNumberFormat="1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center"/>
    </xf>
    <xf numFmtId="2" fontId="4" fillId="2" borderId="4" xfId="5" applyNumberFormat="1" applyFont="1" applyFill="1" applyBorder="1" applyAlignment="1" applyProtection="1">
      <alignment horizontal="right"/>
    </xf>
    <xf numFmtId="0" fontId="3" fillId="2" borderId="4" xfId="5" applyFont="1" applyFill="1" applyBorder="1" applyAlignment="1" applyProtection="1">
      <alignment horizontal="center"/>
    </xf>
    <xf numFmtId="168" fontId="4" fillId="2" borderId="4" xfId="5" applyNumberFormat="1" applyFont="1" applyFill="1" applyBorder="1" applyAlignment="1" applyProtection="1">
      <alignment horizontal="center"/>
    </xf>
    <xf numFmtId="49" fontId="3" fillId="2" borderId="4" xfId="3" applyNumberFormat="1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2" fontId="4" fillId="2" borderId="4" xfId="0" applyNumberFormat="1" applyFont="1" applyFill="1" applyBorder="1" applyAlignment="1" applyProtection="1">
      <alignment horizontal="right" wrapText="1"/>
    </xf>
    <xf numFmtId="49" fontId="4" fillId="34" borderId="63" xfId="109" applyNumberFormat="1" applyFont="1" applyFill="1" applyBorder="1" applyAlignment="1" applyProtection="1">
      <alignment horizontal="left" vertical="top" wrapText="1"/>
    </xf>
    <xf numFmtId="0" fontId="4" fillId="2" borderId="4" xfId="11" applyFont="1" applyFill="1" applyBorder="1" applyAlignment="1" applyProtection="1">
      <alignment vertical="top" wrapText="1"/>
    </xf>
    <xf numFmtId="4" fontId="4" fillId="2" borderId="4" xfId="0" applyNumberFormat="1" applyFont="1" applyFill="1" applyBorder="1" applyAlignment="1" applyProtection="1">
      <alignment vertical="top"/>
    </xf>
    <xf numFmtId="170" fontId="4" fillId="2" borderId="5" xfId="11" applyNumberFormat="1" applyFont="1" applyFill="1" applyBorder="1" applyAlignment="1" applyProtection="1">
      <alignment vertical="top"/>
    </xf>
    <xf numFmtId="4" fontId="4" fillId="2" borderId="5" xfId="0" applyNumberFormat="1" applyFont="1" applyFill="1" applyBorder="1" applyAlignment="1" applyProtection="1"/>
    <xf numFmtId="4" fontId="4" fillId="2" borderId="5" xfId="0" applyNumberFormat="1" applyFont="1" applyFill="1" applyBorder="1" applyAlignment="1" applyProtection="1">
      <alignment horizontal="center"/>
    </xf>
    <xf numFmtId="0" fontId="3" fillId="2" borderId="4" xfId="148" applyFont="1" applyFill="1" applyBorder="1" applyAlignment="1" applyProtection="1">
      <alignment horizontal="left" wrapText="1"/>
    </xf>
    <xf numFmtId="4" fontId="4" fillId="2" borderId="4" xfId="120" applyNumberFormat="1" applyFont="1" applyFill="1" applyBorder="1" applyAlignment="1" applyProtection="1">
      <alignment horizontal="right"/>
    </xf>
    <xf numFmtId="4" fontId="4" fillId="2" borderId="4" xfId="0" applyNumberFormat="1" applyFont="1" applyFill="1" applyBorder="1" applyAlignment="1" applyProtection="1">
      <alignment horizontal="right"/>
    </xf>
    <xf numFmtId="0" fontId="4" fillId="2" borderId="4" xfId="0" applyFont="1" applyFill="1" applyBorder="1" applyAlignment="1" applyProtection="1">
      <alignment horizontal="left" wrapText="1"/>
    </xf>
    <xf numFmtId="1" fontId="4" fillId="2" borderId="4" xfId="11" applyNumberFormat="1" applyFont="1" applyFill="1" applyBorder="1" applyAlignment="1" applyProtection="1">
      <alignment vertical="top"/>
    </xf>
    <xf numFmtId="0" fontId="3" fillId="35" borderId="4" xfId="0" applyFont="1" applyFill="1" applyBorder="1" applyAlignment="1" applyProtection="1">
      <alignment horizontal="center" vertical="top" wrapText="1"/>
    </xf>
    <xf numFmtId="168" fontId="3" fillId="35" borderId="4" xfId="0" applyNumberFormat="1" applyFont="1" applyFill="1" applyBorder="1" applyAlignment="1" applyProtection="1">
      <alignment horizontal="center" vertical="top" wrapText="1"/>
    </xf>
    <xf numFmtId="0" fontId="3" fillId="2" borderId="4" xfId="4" applyFont="1" applyFill="1" applyBorder="1" applyAlignment="1" applyProtection="1">
      <alignment horizontal="center" vertical="center" wrapText="1"/>
    </xf>
    <xf numFmtId="0" fontId="3" fillId="2" borderId="4" xfId="4" applyFont="1" applyFill="1" applyBorder="1" applyAlignment="1" applyProtection="1">
      <alignment vertical="center" wrapText="1"/>
    </xf>
    <xf numFmtId="4" fontId="4" fillId="2" borderId="4" xfId="165" applyNumberFormat="1" applyFont="1" applyFill="1" applyBorder="1" applyAlignment="1" applyProtection="1"/>
    <xf numFmtId="4" fontId="4" fillId="2" borderId="4" xfId="4" applyNumberFormat="1" applyFont="1" applyFill="1" applyBorder="1" applyAlignment="1" applyProtection="1">
      <alignment horizontal="center"/>
    </xf>
    <xf numFmtId="199" fontId="3" fillId="2" borderId="4" xfId="0" applyNumberFormat="1" applyFont="1" applyFill="1" applyBorder="1" applyAlignment="1" applyProtection="1">
      <alignment horizontal="right"/>
    </xf>
    <xf numFmtId="0" fontId="3" fillId="2" borderId="4" xfId="0" applyNumberFormat="1" applyFont="1" applyFill="1" applyBorder="1" applyAlignment="1" applyProtection="1">
      <alignment horizontal="left" wrapText="1"/>
    </xf>
    <xf numFmtId="4" fontId="4" fillId="2" borderId="0" xfId="12" applyNumberFormat="1" applyFont="1" applyFill="1" applyBorder="1" applyAlignment="1" applyProtection="1">
      <alignment horizontal="right" vertical="center" wrapText="1"/>
    </xf>
    <xf numFmtId="4" fontId="4" fillId="2" borderId="4" xfId="12" applyNumberFormat="1" applyFont="1" applyFill="1" applyBorder="1" applyAlignment="1" applyProtection="1">
      <alignment horizontal="center" vertical="center"/>
    </xf>
    <xf numFmtId="201" fontId="3" fillId="2" borderId="4" xfId="0" applyNumberFormat="1" applyFont="1" applyFill="1" applyBorder="1" applyAlignment="1" applyProtection="1">
      <alignment horizontal="right" vertical="top"/>
    </xf>
    <xf numFmtId="0" fontId="3" fillId="2" borderId="4" xfId="0" applyNumberFormat="1" applyFont="1" applyFill="1" applyBorder="1" applyAlignment="1" applyProtection="1">
      <alignment wrapText="1"/>
    </xf>
    <xf numFmtId="4" fontId="3" fillId="2" borderId="0" xfId="0" applyNumberFormat="1" applyFont="1" applyFill="1" applyBorder="1" applyAlignment="1" applyProtection="1">
      <alignment horizontal="right"/>
    </xf>
    <xf numFmtId="4" fontId="3" fillId="2" borderId="4" xfId="0" applyNumberFormat="1" applyFont="1" applyFill="1" applyBorder="1" applyAlignment="1" applyProtection="1">
      <alignment horizontal="center"/>
    </xf>
    <xf numFmtId="201" fontId="4" fillId="2" borderId="4" xfId="0" applyNumberFormat="1" applyFont="1" applyFill="1" applyBorder="1" applyAlignment="1" applyProtection="1">
      <alignment horizontal="right" vertical="top"/>
    </xf>
    <xf numFmtId="0" fontId="4" fillId="2" borderId="4" xfId="0" applyNumberFormat="1" applyFont="1" applyFill="1" applyBorder="1" applyAlignment="1" applyProtection="1">
      <alignment wrapText="1"/>
    </xf>
    <xf numFmtId="4" fontId="4" fillId="2" borderId="0" xfId="0" applyNumberFormat="1" applyFont="1" applyFill="1" applyBorder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1" fontId="6" fillId="2" borderId="4" xfId="1" applyNumberFormat="1" applyFont="1" applyFill="1" applyBorder="1" applyAlignment="1" applyProtection="1">
      <alignment horizontal="right" vertical="top"/>
    </xf>
    <xf numFmtId="190" fontId="6" fillId="2" borderId="4" xfId="0" applyNumberFormat="1" applyFont="1" applyFill="1" applyBorder="1" applyAlignment="1" applyProtection="1">
      <alignment horizontal="left" vertical="top" wrapText="1"/>
    </xf>
    <xf numFmtId="171" fontId="6" fillId="2" borderId="4" xfId="0" applyNumberFormat="1" applyFont="1" applyFill="1" applyBorder="1" applyAlignment="1" applyProtection="1">
      <alignment horizontal="right" vertical="center"/>
    </xf>
    <xf numFmtId="190" fontId="6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 wrapText="1"/>
    </xf>
    <xf numFmtId="2" fontId="6" fillId="6" borderId="4" xfId="1" applyNumberFormat="1" applyFont="1" applyFill="1" applyBorder="1" applyAlignment="1" applyProtection="1">
      <alignment horizontal="right" vertical="center"/>
    </xf>
    <xf numFmtId="190" fontId="24" fillId="6" borderId="4" xfId="0" applyNumberFormat="1" applyFont="1" applyFill="1" applyBorder="1" applyAlignment="1" applyProtection="1">
      <alignment horizontal="center" vertical="top" wrapText="1"/>
    </xf>
    <xf numFmtId="171" fontId="6" fillId="6" borderId="4" xfId="0" applyNumberFormat="1" applyFont="1" applyFill="1" applyBorder="1" applyAlignment="1" applyProtection="1">
      <alignment horizontal="right" vertical="center"/>
    </xf>
    <xf numFmtId="190" fontId="6" fillId="6" borderId="4" xfId="0" applyNumberFormat="1" applyFont="1" applyFill="1" applyBorder="1" applyAlignment="1" applyProtection="1">
      <alignment horizontal="center" vertical="center"/>
    </xf>
    <xf numFmtId="2" fontId="6" fillId="2" borderId="4" xfId="1" applyNumberFormat="1" applyFont="1" applyFill="1" applyBorder="1" applyAlignment="1" applyProtection="1">
      <alignment horizontal="right" vertical="center"/>
    </xf>
    <xf numFmtId="190" fontId="24" fillId="2" borderId="4" xfId="0" applyNumberFormat="1" applyFont="1" applyFill="1" applyBorder="1" applyAlignment="1" applyProtection="1">
      <alignment horizontal="center" vertical="top" wrapText="1"/>
    </xf>
    <xf numFmtId="0" fontId="3" fillId="6" borderId="5" xfId="0" applyFont="1" applyFill="1" applyBorder="1" applyAlignment="1" applyProtection="1">
      <alignment horizontal="right" vertical="top" wrapText="1"/>
    </xf>
    <xf numFmtId="0" fontId="3" fillId="6" borderId="5" xfId="0" applyFont="1" applyFill="1" applyBorder="1" applyAlignment="1" applyProtection="1">
      <alignment horizontal="center" vertical="top" wrapText="1"/>
    </xf>
    <xf numFmtId="168" fontId="3" fillId="6" borderId="5" xfId="0" applyNumberFormat="1" applyFont="1" applyFill="1" applyBorder="1" applyAlignment="1" applyProtection="1">
      <alignment vertical="top" wrapText="1"/>
    </xf>
    <xf numFmtId="168" fontId="3" fillId="6" borderId="5" xfId="0" applyNumberFormat="1" applyFont="1" applyFill="1" applyBorder="1" applyAlignment="1" applyProtection="1">
      <alignment horizontal="center" vertical="top" wrapText="1"/>
    </xf>
    <xf numFmtId="0" fontId="3" fillId="6" borderId="4" xfId="0" applyFont="1" applyFill="1" applyBorder="1" applyAlignment="1" applyProtection="1">
      <alignment horizontal="right" vertical="top" wrapText="1"/>
    </xf>
    <xf numFmtId="0" fontId="3" fillId="6" borderId="4" xfId="0" applyFont="1" applyFill="1" applyBorder="1" applyAlignment="1" applyProtection="1">
      <alignment horizontal="center" vertical="top" wrapText="1"/>
    </xf>
    <xf numFmtId="168" fontId="3" fillId="6" borderId="4" xfId="0" applyNumberFormat="1" applyFont="1" applyFill="1" applyBorder="1" applyAlignment="1" applyProtection="1">
      <alignment vertical="top" wrapText="1"/>
    </xf>
    <xf numFmtId="168" fontId="3" fillId="6" borderId="4" xfId="0" applyNumberFormat="1" applyFont="1" applyFill="1" applyBorder="1" applyAlignment="1" applyProtection="1">
      <alignment horizontal="center" vertical="top" wrapText="1"/>
    </xf>
    <xf numFmtId="172" fontId="4" fillId="2" borderId="4" xfId="0" applyNumberFormat="1" applyFont="1" applyFill="1" applyBorder="1" applyAlignment="1" applyProtection="1">
      <alignment vertical="top" wrapText="1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4" xfId="167" applyFont="1" applyFill="1" applyBorder="1" applyAlignment="1" applyProtection="1">
      <alignment horizontal="right" vertical="center" wrapText="1"/>
    </xf>
    <xf numFmtId="10" fontId="4" fillId="2" borderId="4" xfId="46" applyNumberFormat="1" applyFont="1" applyFill="1" applyBorder="1" applyAlignment="1" applyProtection="1">
      <alignment horizontal="right" vertical="center" wrapText="1"/>
    </xf>
    <xf numFmtId="0" fontId="4" fillId="2" borderId="4" xfId="13" applyFont="1" applyFill="1" applyBorder="1" applyAlignment="1" applyProtection="1">
      <alignment horizontal="right"/>
    </xf>
    <xf numFmtId="10" fontId="4" fillId="2" borderId="4" xfId="10" applyNumberFormat="1" applyFont="1" applyFill="1" applyBorder="1" applyAlignment="1" applyProtection="1">
      <alignment horizontal="right" wrapText="1"/>
    </xf>
    <xf numFmtId="168" fontId="4" fillId="2" borderId="4" xfId="13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right" vertical="top" wrapText="1"/>
    </xf>
    <xf numFmtId="172" fontId="4" fillId="2" borderId="4" xfId="11" applyNumberFormat="1" applyFill="1" applyBorder="1" applyProtection="1"/>
    <xf numFmtId="170" fontId="3" fillId="2" borderId="4" xfId="11" applyNumberFormat="1" applyFont="1" applyFill="1" applyBorder="1" applyAlignment="1" applyProtection="1">
      <alignment horizontal="right"/>
    </xf>
    <xf numFmtId="172" fontId="3" fillId="2" borderId="4" xfId="0" applyNumberFormat="1" applyFont="1" applyFill="1" applyBorder="1" applyAlignment="1" applyProtection="1">
      <alignment vertical="top" wrapText="1"/>
    </xf>
    <xf numFmtId="4" fontId="3" fillId="2" borderId="4" xfId="0" applyNumberFormat="1" applyFont="1" applyFill="1" applyBorder="1" applyAlignment="1" applyProtection="1">
      <alignment horizontal="center" vertical="top" wrapText="1"/>
      <protection locked="0"/>
    </xf>
    <xf numFmtId="4" fontId="4" fillId="2" borderId="4" xfId="0" applyNumberFormat="1" applyFont="1" applyFill="1" applyBorder="1" applyAlignment="1" applyProtection="1">
      <alignment vertical="top" wrapText="1"/>
      <protection locked="0"/>
    </xf>
    <xf numFmtId="4" fontId="4" fillId="2" borderId="4" xfId="119" applyNumberFormat="1" applyFont="1" applyFill="1" applyBorder="1" applyAlignment="1" applyProtection="1">
      <alignment vertical="center"/>
      <protection locked="0"/>
    </xf>
    <xf numFmtId="4" fontId="4" fillId="2" borderId="4" xfId="119" applyNumberFormat="1" applyFont="1" applyFill="1" applyBorder="1" applyAlignment="1" applyProtection="1">
      <protection locked="0"/>
    </xf>
    <xf numFmtId="4" fontId="4" fillId="2" borderId="4" xfId="0" applyNumberFormat="1" applyFont="1" applyFill="1" applyBorder="1" applyAlignment="1" applyProtection="1">
      <alignment wrapText="1"/>
      <protection locked="0"/>
    </xf>
    <xf numFmtId="4" fontId="3" fillId="2" borderId="4" xfId="0" applyNumberFormat="1" applyFont="1" applyFill="1" applyBorder="1" applyAlignment="1" applyProtection="1">
      <alignment vertical="top" wrapText="1"/>
      <protection locked="0"/>
    </xf>
    <xf numFmtId="4" fontId="4" fillId="2" borderId="5" xfId="0" applyNumberFormat="1" applyFont="1" applyFill="1" applyBorder="1" applyAlignment="1" applyProtection="1">
      <alignment vertical="top" wrapText="1"/>
      <protection locked="0"/>
    </xf>
    <xf numFmtId="4" fontId="4" fillId="2" borderId="4" xfId="0" applyNumberFormat="1" applyFont="1" applyFill="1" applyBorder="1" applyAlignment="1" applyProtection="1">
      <alignment vertical="center" wrapText="1"/>
      <protection locked="0"/>
    </xf>
    <xf numFmtId="4" fontId="4" fillId="2" borderId="5" xfId="0" applyNumberFormat="1" applyFont="1" applyFill="1" applyBorder="1" applyAlignment="1" applyProtection="1">
      <alignment wrapText="1"/>
      <protection locked="0"/>
    </xf>
    <xf numFmtId="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8" fontId="3" fillId="2" borderId="4" xfId="0" applyNumberFormat="1" applyFont="1" applyFill="1" applyBorder="1" applyAlignment="1" applyProtection="1">
      <alignment horizontal="right" vertical="top"/>
      <protection locked="0"/>
    </xf>
    <xf numFmtId="168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8" fontId="4" fillId="2" borderId="4" xfId="0" applyNumberFormat="1" applyFont="1" applyFill="1" applyBorder="1" applyAlignment="1" applyProtection="1">
      <alignment horizontal="right" vertical="center"/>
      <protection locked="0"/>
    </xf>
    <xf numFmtId="4" fontId="4" fillId="2" borderId="4" xfId="0" applyNumberFormat="1" applyFont="1" applyFill="1" applyBorder="1" applyProtection="1">
      <protection locked="0"/>
    </xf>
    <xf numFmtId="4" fontId="4" fillId="2" borderId="4" xfId="0" applyNumberFormat="1" applyFont="1" applyFill="1" applyBorder="1" applyAlignment="1" applyProtection="1">
      <protection locked="0"/>
    </xf>
    <xf numFmtId="168" fontId="4" fillId="2" borderId="4" xfId="5" applyNumberFormat="1" applyFont="1" applyFill="1" applyBorder="1" applyProtection="1">
      <protection locked="0"/>
    </xf>
    <xf numFmtId="4" fontId="4" fillId="2" borderId="4" xfId="0" applyNumberFormat="1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4" fontId="4" fillId="2" borderId="5" xfId="119" applyNumberFormat="1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" fontId="4" fillId="2" borderId="4" xfId="0" applyNumberFormat="1" applyFont="1" applyFill="1" applyBorder="1" applyAlignment="1" applyProtection="1">
      <alignment horizontal="right"/>
      <protection locked="0"/>
    </xf>
    <xf numFmtId="4" fontId="3" fillId="35" borderId="4" xfId="0" applyNumberFormat="1" applyFont="1" applyFill="1" applyBorder="1" applyAlignment="1" applyProtection="1">
      <alignment horizontal="center" vertical="top" wrapText="1"/>
      <protection locked="0"/>
    </xf>
    <xf numFmtId="4" fontId="3" fillId="35" borderId="4" xfId="0" applyNumberFormat="1" applyFont="1" applyFill="1" applyBorder="1" applyAlignment="1" applyProtection="1">
      <alignment horizontal="right" vertical="top" wrapText="1"/>
      <protection locked="0"/>
    </xf>
    <xf numFmtId="4" fontId="3" fillId="2" borderId="4" xfId="0" applyNumberFormat="1" applyFont="1" applyFill="1" applyBorder="1" applyAlignment="1" applyProtection="1">
      <alignment horizontal="right" vertical="top" wrapText="1"/>
      <protection locked="0"/>
    </xf>
    <xf numFmtId="4" fontId="4" fillId="2" borderId="4" xfId="4" applyNumberFormat="1" applyFont="1" applyFill="1" applyBorder="1" applyAlignment="1" applyProtection="1">
      <protection locked="0"/>
    </xf>
    <xf numFmtId="4" fontId="4" fillId="2" borderId="4" xfId="1" applyNumberFormat="1" applyFont="1" applyFill="1" applyBorder="1" applyAlignment="1" applyProtection="1">
      <alignment wrapText="1"/>
      <protection locked="0"/>
    </xf>
    <xf numFmtId="4" fontId="4" fillId="2" borderId="4" xfId="12" applyNumberFormat="1" applyFont="1" applyFill="1" applyBorder="1" applyAlignment="1" applyProtection="1">
      <alignment horizontal="right" vertical="center" wrapText="1"/>
      <protection locked="0"/>
    </xf>
    <xf numFmtId="4" fontId="4" fillId="2" borderId="4" xfId="166" applyNumberFormat="1" applyFont="1" applyFill="1" applyBorder="1" applyAlignment="1" applyProtection="1">
      <alignment horizontal="right" vertical="top" wrapText="1"/>
      <protection locked="0"/>
    </xf>
    <xf numFmtId="4" fontId="4" fillId="2" borderId="4" xfId="166" applyNumberFormat="1" applyFont="1" applyFill="1" applyBorder="1" applyAlignment="1" applyProtection="1">
      <alignment horizontal="right" wrapText="1"/>
      <protection locked="0"/>
    </xf>
    <xf numFmtId="4" fontId="3" fillId="2" borderId="4" xfId="166" applyNumberFormat="1" applyFont="1" applyFill="1" applyBorder="1" applyAlignment="1" applyProtection="1">
      <alignment horizontal="right" wrapText="1"/>
      <protection locked="0"/>
    </xf>
    <xf numFmtId="171" fontId="6" fillId="2" borderId="4" xfId="0" applyNumberFormat="1" applyFont="1" applyFill="1" applyBorder="1" applyAlignment="1" applyProtection="1">
      <alignment horizontal="right" vertical="center"/>
      <protection locked="0"/>
    </xf>
    <xf numFmtId="171" fontId="6" fillId="6" borderId="4" xfId="0" applyNumberFormat="1" applyFont="1" applyFill="1" applyBorder="1" applyAlignment="1" applyProtection="1">
      <alignment horizontal="right" vertical="center"/>
      <protection locked="0"/>
    </xf>
    <xf numFmtId="171" fontId="24" fillId="6" borderId="4" xfId="0" applyNumberFormat="1" applyFont="1" applyFill="1" applyBorder="1" applyAlignment="1" applyProtection="1">
      <alignment horizontal="right" vertical="center"/>
      <protection locked="0"/>
    </xf>
    <xf numFmtId="171" fontId="24" fillId="2" borderId="4" xfId="0" applyNumberFormat="1" applyFont="1" applyFill="1" applyBorder="1" applyAlignment="1" applyProtection="1">
      <alignment horizontal="right" vertical="center"/>
      <protection locked="0"/>
    </xf>
    <xf numFmtId="4" fontId="3" fillId="6" borderId="5" xfId="0" applyNumberFormat="1" applyFont="1" applyFill="1" applyBorder="1" applyAlignment="1" applyProtection="1">
      <alignment vertical="top" wrapText="1"/>
      <protection locked="0"/>
    </xf>
    <xf numFmtId="4" fontId="3" fillId="6" borderId="4" xfId="0" applyNumberFormat="1" applyFont="1" applyFill="1" applyBorder="1" applyAlignment="1" applyProtection="1">
      <alignment vertical="top" wrapText="1"/>
      <protection locked="0"/>
    </xf>
    <xf numFmtId="4" fontId="4" fillId="2" borderId="4" xfId="13" applyNumberFormat="1" applyFont="1" applyFill="1" applyBorder="1" applyAlignment="1" applyProtection="1">
      <alignment horizontal="right"/>
      <protection locked="0"/>
    </xf>
    <xf numFmtId="170" fontId="3" fillId="2" borderId="4" xfId="11" applyNumberFormat="1" applyFont="1" applyFill="1" applyBorder="1" applyAlignment="1" applyProtection="1">
      <alignment horizontal="right"/>
      <protection locked="0"/>
    </xf>
    <xf numFmtId="168" fontId="4" fillId="2" borderId="0" xfId="11" applyNumberFormat="1" applyFont="1" applyFill="1" applyBorder="1" applyAlignment="1" applyProtection="1">
      <alignment horizontal="right"/>
      <protection locked="0"/>
    </xf>
  </cellXfs>
  <cellStyles count="220"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2" xfId="74"/>
    <cellStyle name="Comma 2 2" xfId="122"/>
    <cellStyle name="Comma 3" xfId="75"/>
    <cellStyle name="Comma 3 2" xfId="123"/>
    <cellStyle name="Comma_ACUEDUCTO DE  PADRE LAS CASAS" xfId="124"/>
    <cellStyle name="Comma_ANALISIS EL PUERTO 2" xfId="25"/>
    <cellStyle name="Comma_ANALISIS EL PUERTO_PRES. 62-08 ACUEDUCTO SABANA YEGUA Y TABARA ABAJO, AZUA (desenlazado)" xfId="20"/>
    <cellStyle name="Currency 2" xfId="76"/>
    <cellStyle name="Euro" xfId="77"/>
    <cellStyle name="Euro 2" xfId="125"/>
    <cellStyle name="Euro 3" xfId="172"/>
    <cellStyle name="Explanatory Text" xfId="78"/>
    <cellStyle name="F2" xfId="79"/>
    <cellStyle name="F3" xfId="80"/>
    <cellStyle name="F4" xfId="81"/>
    <cellStyle name="F5" xfId="82"/>
    <cellStyle name="F6" xfId="83"/>
    <cellStyle name="F7" xfId="84"/>
    <cellStyle name="F8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Millares" xfId="1" builtinId="3"/>
    <cellStyle name="Millares 10" xfId="14"/>
    <cellStyle name="Millares 10 2" xfId="40"/>
    <cellStyle name="Millares 10 2 2" xfId="174"/>
    <cellStyle name="Millares 10 3" xfId="93"/>
    <cellStyle name="Millares 10 3 2" xfId="175"/>
    <cellStyle name="Millares 10 4" xfId="173"/>
    <cellStyle name="Millares 11" xfId="120"/>
    <cellStyle name="Millares 11 2" xfId="127"/>
    <cellStyle name="Millares 12" xfId="94"/>
    <cellStyle name="Millares 12 2" xfId="176"/>
    <cellStyle name="Millares 12 5" xfId="95"/>
    <cellStyle name="Millares 13" xfId="126"/>
    <cellStyle name="Millares 13 2" xfId="177"/>
    <cellStyle name="Millares 14" xfId="170"/>
    <cellStyle name="Millares 18" xfId="121"/>
    <cellStyle name="Millares 2" xfId="96"/>
    <cellStyle name="Millares 2 11 2" xfId="179"/>
    <cellStyle name="Millares 2 2" xfId="9"/>
    <cellStyle name="Millares 2 2 2" xfId="22"/>
    <cellStyle name="Millares 2 2 2 2" xfId="128"/>
    <cellStyle name="Millares 2 2 2 2 2" xfId="180"/>
    <cellStyle name="Millares 2 2 2 3" xfId="181"/>
    <cellStyle name="Millares 2 2 3" xfId="182"/>
    <cellStyle name="Millares 2 3" xfId="2"/>
    <cellStyle name="Millares 2 3 2" xfId="97"/>
    <cellStyle name="Millares 2 3 3" xfId="129"/>
    <cellStyle name="Millares 2 3 4" xfId="183"/>
    <cellStyle name="Millares 2 4" xfId="98"/>
    <cellStyle name="Millares 2 4 2" xfId="184"/>
    <cellStyle name="Millares 2 5" xfId="185"/>
    <cellStyle name="Millares 2 6" xfId="186"/>
    <cellStyle name="Millares 2 7" xfId="178"/>
    <cellStyle name="Millares 2_111-12 ac neyba zona alta" xfId="130"/>
    <cellStyle name="Millares 3" xfId="15"/>
    <cellStyle name="Millares 3 2" xfId="99"/>
    <cellStyle name="Millares 3 2 2" xfId="132"/>
    <cellStyle name="Millares 3 3" xfId="119"/>
    <cellStyle name="Millares 3 3 2" xfId="164"/>
    <cellStyle name="Millares 3 3 3" xfId="187"/>
    <cellStyle name="Millares 3 4" xfId="131"/>
    <cellStyle name="Millares 3_111-12 ac neyba zona alta" xfId="133"/>
    <cellStyle name="Millares 4" xfId="8"/>
    <cellStyle name="Millares 4 2" xfId="134"/>
    <cellStyle name="Millares 4 2 2" xfId="135"/>
    <cellStyle name="Millares 4 2 2 3" xfId="166"/>
    <cellStyle name="Millares 5" xfId="100"/>
    <cellStyle name="Millares 5 2" xfId="136"/>
    <cellStyle name="Millares 5 3" xfId="12"/>
    <cellStyle name="Millares 5 3 2" xfId="168"/>
    <cellStyle name="Millares 5 3 2 2" xfId="189"/>
    <cellStyle name="Millares 5 4" xfId="188"/>
    <cellStyle name="Millares 6" xfId="101"/>
    <cellStyle name="Millares 6 2" xfId="137"/>
    <cellStyle name="Millares 6 3" xfId="190"/>
    <cellStyle name="Millares 7" xfId="18"/>
    <cellStyle name="Millares 7 2" xfId="138"/>
    <cellStyle name="Millares 7 2 2" xfId="191"/>
    <cellStyle name="Millares 8" xfId="43"/>
    <cellStyle name="Millares 8 2" xfId="139"/>
    <cellStyle name="Millares 8 3" xfId="192"/>
    <cellStyle name="Millares 9" xfId="140"/>
    <cellStyle name="Millares 9 2" xfId="193"/>
    <cellStyle name="Millares_114-08 PRESUP. ADICIONALES OBRA DE TOMA RIO SOCO SAN PEDRO 2" xfId="158"/>
    <cellStyle name="Millares_154-05 terminacion carenero villa clara parte b juana vicenta y los cocos 2" xfId="33"/>
    <cellStyle name="Millares_ALCANTARILLADO SANITARIO - LA DESCUBIERTA -EGB" xfId="23"/>
    <cellStyle name="Millares_ALCANTARILLADO SANITARIO DE GUAYMATE REV." xfId="161"/>
    <cellStyle name="Millares_ANALISIS  ACUEDUCTO LA CUEVA DE CEVICOS 2" xfId="31"/>
    <cellStyle name="Millares_desmonte, corte, cargio, empuje, ingenieria" xfId="38"/>
    <cellStyle name="Millares_ESTACION BOMBEO" xfId="163"/>
    <cellStyle name="Millares_PRESUPUESTO" xfId="165"/>
    <cellStyle name="Millares_rec 1#57-06  al 160-05 2da. terminacion ac. carenero, villa clara, juana vicenta y los cocos" xfId="34"/>
    <cellStyle name="Millares_rec. 1 al 314-04 ac. mult. sabana larga-hato viejo-potroso 2" xfId="29"/>
    <cellStyle name="Millares_rec. 77-05  #1  53-05Terminacionl  acueducto de Corral Grande, Partido y Mariano Cestero" xfId="36"/>
    <cellStyle name="Moneda 2" xfId="141"/>
    <cellStyle name="Moneda 2 2" xfId="194"/>
    <cellStyle name="No-definido" xfId="102"/>
    <cellStyle name="Normal" xfId="0" builtinId="0"/>
    <cellStyle name="Normal - Style1" xfId="103"/>
    <cellStyle name="Normal 10" xfId="195"/>
    <cellStyle name="Normal 10 2" xfId="44"/>
    <cellStyle name="Normal 11" xfId="7"/>
    <cellStyle name="Normal 12" xfId="196"/>
    <cellStyle name="Normal 13" xfId="197"/>
    <cellStyle name="Normal 13 2" xfId="198"/>
    <cellStyle name="Normal 14" xfId="17"/>
    <cellStyle name="Normal 14 2" xfId="142"/>
    <cellStyle name="Normal 14 2 2" xfId="143"/>
    <cellStyle name="Normal 14 3" xfId="199"/>
    <cellStyle name="Normal 15" xfId="200"/>
    <cellStyle name="Normal 16" xfId="201"/>
    <cellStyle name="Normal 17" xfId="202"/>
    <cellStyle name="Normal 18" xfId="13"/>
    <cellStyle name="Normal 19" xfId="171"/>
    <cellStyle name="Normal 2" xfId="104"/>
    <cellStyle name="Normal 2 2" xfId="105"/>
    <cellStyle name="Normal 2 2 2" xfId="16"/>
    <cellStyle name="Normal 2 3" xfId="11"/>
    <cellStyle name="Normal 2 3 2" xfId="203"/>
    <cellStyle name="Normal 2 4" xfId="145"/>
    <cellStyle name="Normal 2 5" xfId="144"/>
    <cellStyle name="Normal 2 5 2" xfId="204"/>
    <cellStyle name="Normal 2_07-09 presupu..." xfId="106"/>
    <cellStyle name="Normal 20" xfId="169"/>
    <cellStyle name="Normal 21" xfId="218"/>
    <cellStyle name="Normal 3" xfId="107"/>
    <cellStyle name="Normal 3 2" xfId="147"/>
    <cellStyle name="Normal 3 2 2" xfId="206"/>
    <cellStyle name="Normal 3 3" xfId="146"/>
    <cellStyle name="Normal 3 3 2" xfId="207"/>
    <cellStyle name="Normal 3 4" xfId="205"/>
    <cellStyle name="Normal 31_correccion de averia ac.hatillo prov.hato mayor oct.2011" xfId="148"/>
    <cellStyle name="Normal 4" xfId="108"/>
    <cellStyle name="Normal 4 2" xfId="208"/>
    <cellStyle name="Normal 5" xfId="39"/>
    <cellStyle name="Normal 5 2" xfId="209"/>
    <cellStyle name="Normal 5 3" xfId="210"/>
    <cellStyle name="Normal 6" xfId="45"/>
    <cellStyle name="Normal 6 2" xfId="110"/>
    <cellStyle name="Normal 7" xfId="42"/>
    <cellStyle name="Normal 7 2" xfId="149"/>
    <cellStyle name="Normal 7 3" xfId="211"/>
    <cellStyle name="Normal 8" xfId="109"/>
    <cellStyle name="Normal 8 2" xfId="150"/>
    <cellStyle name="Normal 8 3" xfId="212"/>
    <cellStyle name="Normal 85" xfId="151"/>
    <cellStyle name="Normal 85 2" xfId="213"/>
    <cellStyle name="Normal 9" xfId="152"/>
    <cellStyle name="Normal 9 2" xfId="215"/>
    <cellStyle name="Normal 9 3" xfId="214"/>
    <cellStyle name="Normal_102-09 const. dique y reh. toma lateral exist. AC. EL CACIQUE" xfId="28"/>
    <cellStyle name="Normal_126-05 terminacion alc. sant. juan dolio y guayacanes parte b" xfId="219"/>
    <cellStyle name="Normal_126-05 terminacion alc. sant. juan dolio y guayacanes parte b 2" xfId="26"/>
    <cellStyle name="Normal_28-09 AC. PEDERNALES" xfId="41"/>
    <cellStyle name="Normal_502-01 alcantarillado sanitario academia de entrenamiento policial de hatilloparte b" xfId="5"/>
    <cellStyle name="Normal_ACUEDUCTO DE GUANITO PARTE A" xfId="159"/>
    <cellStyle name="Normal_ACUEDUCTO HATO VIEJO-LOS AMACEYES PARTE A 2" xfId="27"/>
    <cellStyle name="Normal_ALCANTARILLADO SANITARIO DE GUAYMATE REV." xfId="160"/>
    <cellStyle name="Normal_ANALISIS EL PUERTO" xfId="156"/>
    <cellStyle name="Normal_ANALISIS EL PUERTO 2" xfId="21"/>
    <cellStyle name="Normal_ANALISIS EL PUERTO 2 2" xfId="37"/>
    <cellStyle name="Normal_ANALISIS EL PUERTO 3" xfId="19"/>
    <cellStyle name="Normal_ANALISIS EL PUERTO_154-05 terminacion carenero villa clara parte b juana vicenta y los cocos 2" xfId="32"/>
    <cellStyle name="Normal_ANALISIS EL PUERTO_ANALISIS GENERALES DE MARIO Y JOEL 2" xfId="35"/>
    <cellStyle name="Normal_Copia de Analisis PARA PRESUPUESTO OBRAS PUBLICA df enero 2004" xfId="30"/>
    <cellStyle name="Normal_Copia de Rec. no.2 294-04 (del pres. modificado)   Ac. santana catalina parte A" xfId="157"/>
    <cellStyle name="Normal_Copia de Rec. no.2 294-04 (del pres. modificado)   Ac. santana catalina parte A_ESTACION BOMBEO" xfId="162"/>
    <cellStyle name="Normal_Hoja1" xfId="3"/>
    <cellStyle name="Normal_MODIFIC. 1  al pres 01-09  Termin Acueducto de Loma de Cabrera" xfId="24"/>
    <cellStyle name="Normal_presupuesto" xfId="4"/>
    <cellStyle name="Normal_Presupuesto Terminaciones Edificio Mantenimiento Nave I " xfId="167"/>
    <cellStyle name="Normal_REPARACION ACUEDUCTO SANCRISTOBAL, CAMBITA GARABITO Y PARAJE LA TOMA (version 1)" xfId="6"/>
    <cellStyle name="Note" xfId="111"/>
    <cellStyle name="Output" xfId="112"/>
    <cellStyle name="Percent 2" xfId="113"/>
    <cellStyle name="Porcentaje" xfId="10" builtinId="5"/>
    <cellStyle name="Porcentaje 2" xfId="46"/>
    <cellStyle name="Porcentaje 3" xfId="153"/>
    <cellStyle name="Porcentaje 3 2" xfId="216"/>
    <cellStyle name="Porcentual 2" xfId="114"/>
    <cellStyle name="Porcentual 2 2" xfId="115"/>
    <cellStyle name="Porcentual 2 3" xfId="154"/>
    <cellStyle name="Porcentual 3" xfId="155"/>
    <cellStyle name="Porcentual 4" xfId="217"/>
    <cellStyle name="Porcentual 5" xfId="116"/>
    <cellStyle name="Title" xfId="117"/>
    <cellStyle name="Warning Text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10</xdr:row>
      <xdr:rowOff>0</xdr:rowOff>
    </xdr:from>
    <xdr:to>
      <xdr:col>1</xdr:col>
      <xdr:colOff>1400175</xdr:colOff>
      <xdr:row>11</xdr:row>
      <xdr:rowOff>0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78117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</xdr:row>
      <xdr:rowOff>0</xdr:rowOff>
    </xdr:from>
    <xdr:to>
      <xdr:col>1</xdr:col>
      <xdr:colOff>1428750</xdr:colOff>
      <xdr:row>11</xdr:row>
      <xdr:rowOff>0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9750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10</xdr:row>
      <xdr:rowOff>152400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762125" y="83153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10</xdr:row>
      <xdr:rowOff>152400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762125" y="83153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10</xdr:row>
      <xdr:rowOff>152400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762125" y="831532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1762125" y="83153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1400175</xdr:colOff>
      <xdr:row>11</xdr:row>
      <xdr:rowOff>0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78117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10</xdr:row>
      <xdr:rowOff>0</xdr:rowOff>
    </xdr:from>
    <xdr:to>
      <xdr:col>1</xdr:col>
      <xdr:colOff>1428750</xdr:colOff>
      <xdr:row>11</xdr:row>
      <xdr:rowOff>0</xdr:rowOff>
    </xdr:to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809750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10</xdr:row>
      <xdr:rowOff>152400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762125" y="571785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10</xdr:row>
      <xdr:rowOff>152400</xdr:rowOff>
    </xdr:to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762125" y="571785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10</xdr:row>
      <xdr:rowOff>152400</xdr:rowOff>
    </xdr:to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762125" y="571785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0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762125" y="571785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139</xdr:row>
      <xdr:rowOff>0</xdr:rowOff>
    </xdr:from>
    <xdr:to>
      <xdr:col>1</xdr:col>
      <xdr:colOff>1400175</xdr:colOff>
      <xdr:row>140</xdr:row>
      <xdr:rowOff>0</xdr:rowOff>
    </xdr:to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78117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139</xdr:row>
      <xdr:rowOff>0</xdr:rowOff>
    </xdr:from>
    <xdr:to>
      <xdr:col>1</xdr:col>
      <xdr:colOff>1428750</xdr:colOff>
      <xdr:row>140</xdr:row>
      <xdr:rowOff>0</xdr:rowOff>
    </xdr:to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809750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139</xdr:row>
      <xdr:rowOff>152400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762125" y="65970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139</xdr:row>
      <xdr:rowOff>152400</xdr:rowOff>
    </xdr:to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762125" y="65970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139</xdr:row>
      <xdr:rowOff>152400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762125" y="659701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139</xdr:row>
      <xdr:rowOff>0</xdr:rowOff>
    </xdr:from>
    <xdr:to>
      <xdr:col>1</xdr:col>
      <xdr:colOff>1381125</xdr:colOff>
      <xdr:row>140</xdr:row>
      <xdr:rowOff>0</xdr:rowOff>
    </xdr:to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762125" y="659701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112</xdr:row>
      <xdr:rowOff>0</xdr:rowOff>
    </xdr:from>
    <xdr:to>
      <xdr:col>1</xdr:col>
      <xdr:colOff>1400175</xdr:colOff>
      <xdr:row>113</xdr:row>
      <xdr:rowOff>0</xdr:rowOff>
    </xdr:to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78117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112</xdr:row>
      <xdr:rowOff>0</xdr:rowOff>
    </xdr:from>
    <xdr:to>
      <xdr:col>1</xdr:col>
      <xdr:colOff>1428750</xdr:colOff>
      <xdr:row>113</xdr:row>
      <xdr:rowOff>0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809750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112</xdr:row>
      <xdr:rowOff>152400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762125" y="66779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112</xdr:row>
      <xdr:rowOff>152400</xdr:rowOff>
    </xdr:to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762125" y="66779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112</xdr:row>
      <xdr:rowOff>152400</xdr:rowOff>
    </xdr:to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762125" y="66779775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112</xdr:row>
      <xdr:rowOff>0</xdr:rowOff>
    </xdr:from>
    <xdr:to>
      <xdr:col>1</xdr:col>
      <xdr:colOff>1381125</xdr:colOff>
      <xdr:row>113</xdr:row>
      <xdr:rowOff>0</xdr:rowOff>
    </xdr:to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762125" y="6677977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12</xdr:row>
      <xdr:rowOff>161925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1781175" y="524637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104775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1781175" y="5246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104775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1781175" y="5246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12</xdr:row>
      <xdr:rowOff>161925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1781175" y="524637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12</xdr:row>
      <xdr:rowOff>161925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1781175" y="524637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104775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1781175" y="5246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104775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1781175" y="5246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104775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762125" y="52463700"/>
          <a:ext cx="95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12</xdr:row>
      <xdr:rowOff>161925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1781175" y="524637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104775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1781175" y="5246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104775</xdr:rowOff>
    </xdr:to>
    <xdr:sp macro="" textlink="">
      <xdr:nvSpPr>
        <xdr:cNvPr id="80" name="Text Box 9"/>
        <xdr:cNvSpPr txBox="1">
          <a:spLocks noChangeArrowheads="1"/>
        </xdr:cNvSpPr>
      </xdr:nvSpPr>
      <xdr:spPr bwMode="auto">
        <a:xfrm>
          <a:off x="1781175" y="5246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12</xdr:row>
      <xdr:rowOff>161925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1781175" y="524637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12</xdr:row>
      <xdr:rowOff>161925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1781175" y="52463700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104775</xdr:rowOff>
    </xdr:to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1781175" y="5246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104775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1781175" y="5246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781175" y="502729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781175" y="50272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781175" y="50272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781175" y="502729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781175" y="502729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781175" y="50272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781175" y="50272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142875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762125" y="502729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781175" y="502729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781175" y="50272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781175" y="50272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781175" y="502729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781175" y="5027295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781175" y="50272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781175" y="5027295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1781175" y="4450080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1781175" y="44500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1781175" y="44500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103" name="Text Box 8"/>
        <xdr:cNvSpPr txBox="1">
          <a:spLocks noChangeArrowheads="1"/>
        </xdr:cNvSpPr>
      </xdr:nvSpPr>
      <xdr:spPr bwMode="auto">
        <a:xfrm>
          <a:off x="1781175" y="4450080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1781175" y="4450080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1781175" y="44500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106" name="Text Box 9"/>
        <xdr:cNvSpPr txBox="1">
          <a:spLocks noChangeArrowheads="1"/>
        </xdr:cNvSpPr>
      </xdr:nvSpPr>
      <xdr:spPr bwMode="auto">
        <a:xfrm>
          <a:off x="1781175" y="44500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10</xdr:row>
      <xdr:rowOff>0</xdr:rowOff>
    </xdr:from>
    <xdr:to>
      <xdr:col>1</xdr:col>
      <xdr:colOff>1381125</xdr:colOff>
      <xdr:row>11</xdr:row>
      <xdr:rowOff>142875</xdr:rowOff>
    </xdr:to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1762125" y="44500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1781175" y="4450080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1781175" y="44500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110" name="Text Box 9"/>
        <xdr:cNvSpPr txBox="1">
          <a:spLocks noChangeArrowheads="1"/>
        </xdr:cNvSpPr>
      </xdr:nvSpPr>
      <xdr:spPr bwMode="auto">
        <a:xfrm>
          <a:off x="1781175" y="44500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1781175" y="4450080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152400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1781175" y="44500800"/>
          <a:ext cx="104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113" name="Text Box 8"/>
        <xdr:cNvSpPr txBox="1">
          <a:spLocks noChangeArrowheads="1"/>
        </xdr:cNvSpPr>
      </xdr:nvSpPr>
      <xdr:spPr bwMode="auto">
        <a:xfrm>
          <a:off x="1781175" y="44500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</xdr:row>
      <xdr:rowOff>0</xdr:rowOff>
    </xdr:from>
    <xdr:to>
      <xdr:col>1</xdr:col>
      <xdr:colOff>1409700</xdr:colOff>
      <xdr:row>11</xdr:row>
      <xdr:rowOff>142875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781175" y="44500800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</xdr:row>
      <xdr:rowOff>0</xdr:rowOff>
    </xdr:from>
    <xdr:to>
      <xdr:col>1</xdr:col>
      <xdr:colOff>1400175</xdr:colOff>
      <xdr:row>9</xdr:row>
      <xdr:rowOff>57150</xdr:rowOff>
    </xdr:to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178117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17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</xdr:row>
      <xdr:rowOff>0</xdr:rowOff>
    </xdr:from>
    <xdr:to>
      <xdr:col>1</xdr:col>
      <xdr:colOff>1428750</xdr:colOff>
      <xdr:row>9</xdr:row>
      <xdr:rowOff>57150</xdr:rowOff>
    </xdr:to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1809750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22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47625</xdr:rowOff>
    </xdr:to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1762125" y="12954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47625</xdr:rowOff>
    </xdr:to>
    <xdr:sp macro="" textlink="">
      <xdr:nvSpPr>
        <xdr:cNvPr id="124" name="Text Box 15"/>
        <xdr:cNvSpPr txBox="1">
          <a:spLocks noChangeArrowheads="1"/>
        </xdr:cNvSpPr>
      </xdr:nvSpPr>
      <xdr:spPr bwMode="auto">
        <a:xfrm>
          <a:off x="1762125" y="12954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47625</xdr:rowOff>
    </xdr:to>
    <xdr:sp macro="" textlink="">
      <xdr:nvSpPr>
        <xdr:cNvPr id="125" name="Text Box 15"/>
        <xdr:cNvSpPr txBox="1">
          <a:spLocks noChangeArrowheads="1"/>
        </xdr:cNvSpPr>
      </xdr:nvSpPr>
      <xdr:spPr bwMode="auto">
        <a:xfrm>
          <a:off x="1762125" y="12954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27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28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29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30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9</xdr:row>
      <xdr:rowOff>57150</xdr:rowOff>
    </xdr:to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1762125" y="129540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AC. LOS LIMONES ACERO "/>
      <sheetName val="AC. LOS LIMONES HIERRO DUCTIL"/>
      <sheetName val="AC. LOS LIMONES G.R.P (2)"/>
      <sheetName val="MOV. TIERR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D2">
            <v>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Y491"/>
  <sheetViews>
    <sheetView showZeros="0" tabSelected="1" view="pageBreakPreview" zoomScaleNormal="100" zoomScaleSheetLayoutView="100" workbookViewId="0">
      <selection activeCell="B165" sqref="B165"/>
    </sheetView>
  </sheetViews>
  <sheetFormatPr baseColWidth="10" defaultRowHeight="12.75" x14ac:dyDescent="0.2"/>
  <cols>
    <col min="1" max="1" width="7.7109375" style="5" customWidth="1"/>
    <col min="2" max="2" width="50.85546875" style="5" customWidth="1"/>
    <col min="3" max="3" width="9.7109375" style="5" customWidth="1"/>
    <col min="4" max="4" width="9" style="5" customWidth="1"/>
    <col min="5" max="5" width="10.5703125" style="6" customWidth="1"/>
    <col min="6" max="6" width="14.140625" style="6" customWidth="1"/>
    <col min="7" max="7" width="11.42578125" style="5"/>
    <col min="8" max="8" width="8" style="5" customWidth="1"/>
    <col min="9" max="9" width="5.5703125" style="5" customWidth="1"/>
    <col min="10" max="10" width="11.42578125" style="5"/>
    <col min="11" max="11" width="5.42578125" style="5" customWidth="1"/>
    <col min="12" max="16384" width="11.42578125" style="5"/>
  </cols>
  <sheetData>
    <row r="1" spans="1:6" s="1" customFormat="1" x14ac:dyDescent="0.2">
      <c r="A1" s="1613"/>
      <c r="B1" s="1613"/>
      <c r="C1" s="1613"/>
      <c r="D1" s="1613"/>
      <c r="E1" s="1613"/>
      <c r="F1" s="1613"/>
    </row>
    <row r="2" spans="1:6" s="1" customFormat="1" x14ac:dyDescent="0.2">
      <c r="A2" s="1613"/>
      <c r="B2" s="1613"/>
      <c r="C2" s="1613"/>
      <c r="D2" s="1613"/>
      <c r="E2" s="1613"/>
      <c r="F2" s="1613"/>
    </row>
    <row r="3" spans="1:6" s="1" customFormat="1" x14ac:dyDescent="0.2">
      <c r="A3" s="1613"/>
      <c r="B3" s="1613"/>
      <c r="C3" s="1613"/>
      <c r="D3" s="1613"/>
      <c r="E3" s="1613"/>
      <c r="F3" s="1613"/>
    </row>
    <row r="4" spans="1:6" s="1" customFormat="1" x14ac:dyDescent="0.2">
      <c r="A4" s="1613"/>
      <c r="B4" s="1613"/>
      <c r="C4" s="1613"/>
      <c r="D4" s="1613"/>
      <c r="E4" s="1613"/>
      <c r="F4" s="1613"/>
    </row>
    <row r="5" spans="1:6" s="1" customFormat="1" x14ac:dyDescent="0.2">
      <c r="A5" s="1614"/>
      <c r="B5" s="1614"/>
      <c r="C5" s="1614"/>
      <c r="D5" s="1614"/>
      <c r="E5" s="1614"/>
      <c r="F5" s="1614"/>
    </row>
    <row r="6" spans="1:6" s="9" customFormat="1" ht="18" customHeight="1" x14ac:dyDescent="0.2">
      <c r="A6" s="1615"/>
      <c r="B6" s="1615"/>
      <c r="C6" s="1615"/>
      <c r="D6" s="1615"/>
      <c r="E6" s="1615"/>
      <c r="F6" s="1615"/>
    </row>
    <row r="7" spans="1:6" s="2" customFormat="1" ht="16.5" customHeight="1" x14ac:dyDescent="0.2">
      <c r="A7" s="1616" t="s">
        <v>954</v>
      </c>
      <c r="B7" s="1616"/>
      <c r="C7" s="1616"/>
      <c r="D7" s="1616"/>
      <c r="E7" s="1616"/>
      <c r="F7" s="1616"/>
    </row>
    <row r="8" spans="1:6" s="2" customFormat="1" ht="16.5" customHeight="1" x14ac:dyDescent="0.2">
      <c r="A8" s="1617" t="s">
        <v>633</v>
      </c>
      <c r="B8" s="1618"/>
      <c r="C8" s="1616" t="s">
        <v>634</v>
      </c>
      <c r="D8" s="1616"/>
      <c r="E8" s="1616"/>
      <c r="F8" s="1616"/>
    </row>
    <row r="9" spans="1:6" s="2" customFormat="1" ht="8.25" customHeight="1" x14ac:dyDescent="0.2">
      <c r="A9" s="1618"/>
      <c r="B9" s="1618"/>
      <c r="C9" s="1619"/>
      <c r="D9" s="1618"/>
      <c r="E9" s="1620"/>
      <c r="F9" s="1620"/>
    </row>
    <row r="10" spans="1:6" s="3" customFormat="1" x14ac:dyDescent="0.2">
      <c r="A10" s="1621" t="s">
        <v>0</v>
      </c>
      <c r="B10" s="1621" t="s">
        <v>1</v>
      </c>
      <c r="C10" s="1621" t="s">
        <v>2</v>
      </c>
      <c r="D10" s="1621" t="s">
        <v>3</v>
      </c>
      <c r="E10" s="1622" t="s">
        <v>4</v>
      </c>
      <c r="F10" s="1623" t="s">
        <v>5</v>
      </c>
    </row>
    <row r="11" spans="1:6" s="8" customFormat="1" x14ac:dyDescent="0.2">
      <c r="A11" s="1624" t="s">
        <v>6</v>
      </c>
      <c r="B11" s="1625" t="s">
        <v>640</v>
      </c>
      <c r="C11" s="1626"/>
      <c r="D11" s="1626"/>
      <c r="E11" s="1627"/>
      <c r="F11" s="1627"/>
    </row>
    <row r="12" spans="1:6" s="1" customFormat="1" x14ac:dyDescent="0.2">
      <c r="A12" s="1624"/>
      <c r="B12" s="1624"/>
      <c r="C12" s="1626"/>
      <c r="D12" s="1626"/>
      <c r="E12" s="1753"/>
      <c r="F12" s="1753"/>
    </row>
    <row r="13" spans="1:6" s="1" customFormat="1" ht="13.5" customHeight="1" x14ac:dyDescent="0.2">
      <c r="A13" s="1628">
        <v>1</v>
      </c>
      <c r="B13" s="1629" t="s">
        <v>19</v>
      </c>
      <c r="C13" s="1630">
        <v>6081.23</v>
      </c>
      <c r="D13" s="1631" t="s">
        <v>8</v>
      </c>
      <c r="E13" s="1754"/>
      <c r="F13" s="1754"/>
    </row>
    <row r="14" spans="1:6" s="1" customFormat="1" x14ac:dyDescent="0.2">
      <c r="A14" s="1628"/>
      <c r="B14" s="1629"/>
      <c r="C14" s="1630"/>
      <c r="D14" s="1631"/>
      <c r="E14" s="1754"/>
      <c r="F14" s="1754"/>
    </row>
    <row r="15" spans="1:6" s="1" customFormat="1" ht="25.5" x14ac:dyDescent="0.2">
      <c r="A15" s="1628">
        <v>2</v>
      </c>
      <c r="B15" s="1633" t="s">
        <v>870</v>
      </c>
      <c r="C15" s="1634"/>
      <c r="D15" s="1635"/>
      <c r="E15" s="1755"/>
      <c r="F15" s="1754"/>
    </row>
    <row r="16" spans="1:6" s="1" customFormat="1" x14ac:dyDescent="0.2">
      <c r="A16" s="1628">
        <v>2.1</v>
      </c>
      <c r="B16" s="1636" t="s">
        <v>835</v>
      </c>
      <c r="C16" s="1637">
        <v>7109.34</v>
      </c>
      <c r="D16" s="1638" t="s">
        <v>8</v>
      </c>
      <c r="E16" s="1756"/>
      <c r="F16" s="1757"/>
    </row>
    <row r="17" spans="1:6" s="1" customFormat="1" x14ac:dyDescent="0.2">
      <c r="A17" s="1628">
        <v>2.2000000000000002</v>
      </c>
      <c r="B17" s="1636" t="s">
        <v>863</v>
      </c>
      <c r="C17" s="1637">
        <v>2381.63</v>
      </c>
      <c r="D17" s="1638" t="s">
        <v>16</v>
      </c>
      <c r="E17" s="1757"/>
      <c r="F17" s="1757"/>
    </row>
    <row r="18" spans="1:6" s="1" customFormat="1" ht="25.5" x14ac:dyDescent="0.2">
      <c r="A18" s="1628">
        <v>2.2999999999999998</v>
      </c>
      <c r="B18" s="1639" t="s">
        <v>862</v>
      </c>
      <c r="C18" s="1637">
        <v>160.76</v>
      </c>
      <c r="D18" s="1638" t="s">
        <v>10</v>
      </c>
      <c r="E18" s="1757"/>
      <c r="F18" s="1757"/>
    </row>
    <row r="19" spans="1:6" s="1" customFormat="1" x14ac:dyDescent="0.2">
      <c r="A19" s="1628"/>
      <c r="B19" s="1629"/>
      <c r="C19" s="1630"/>
      <c r="D19" s="1631"/>
      <c r="E19" s="1754"/>
      <c r="F19" s="1754"/>
    </row>
    <row r="20" spans="1:6" s="1" customFormat="1" x14ac:dyDescent="0.2">
      <c r="A20" s="1640">
        <v>3</v>
      </c>
      <c r="B20" s="1641" t="s">
        <v>9</v>
      </c>
      <c r="C20" s="1642"/>
      <c r="D20" s="1626"/>
      <c r="E20" s="1758"/>
      <c r="F20" s="1754"/>
    </row>
    <row r="21" spans="1:6" s="8" customFormat="1" x14ac:dyDescent="0.2">
      <c r="A21" s="1640">
        <v>3.1</v>
      </c>
      <c r="B21" s="1641" t="s">
        <v>655</v>
      </c>
      <c r="C21" s="1642"/>
      <c r="D21" s="1626"/>
      <c r="E21" s="1758"/>
      <c r="F21" s="1754"/>
    </row>
    <row r="22" spans="1:6" s="8" customFormat="1" x14ac:dyDescent="0.2">
      <c r="A22" s="1643" t="s">
        <v>901</v>
      </c>
      <c r="B22" s="1644" t="s">
        <v>869</v>
      </c>
      <c r="C22" s="1630">
        <v>1451.79</v>
      </c>
      <c r="D22" s="1631" t="s">
        <v>10</v>
      </c>
      <c r="E22" s="1754"/>
      <c r="F22" s="1754"/>
    </row>
    <row r="23" spans="1:6" s="8" customFormat="1" x14ac:dyDescent="0.2">
      <c r="A23" s="1643" t="s">
        <v>902</v>
      </c>
      <c r="B23" s="1644" t="s">
        <v>868</v>
      </c>
      <c r="C23" s="1630">
        <v>622.20000000000005</v>
      </c>
      <c r="D23" s="1631" t="s">
        <v>10</v>
      </c>
      <c r="E23" s="1754"/>
      <c r="F23" s="1754"/>
    </row>
    <row r="24" spans="1:6" s="8" customFormat="1" x14ac:dyDescent="0.2">
      <c r="A24" s="1643"/>
      <c r="B24" s="1644"/>
      <c r="C24" s="1630"/>
      <c r="D24" s="1631"/>
      <c r="E24" s="1754"/>
      <c r="F24" s="1754"/>
    </row>
    <row r="25" spans="1:6" s="8" customFormat="1" x14ac:dyDescent="0.2">
      <c r="A25" s="1643">
        <v>3.2</v>
      </c>
      <c r="B25" s="1644" t="s">
        <v>638</v>
      </c>
      <c r="C25" s="1630">
        <v>425.69</v>
      </c>
      <c r="D25" s="1631" t="s">
        <v>10</v>
      </c>
      <c r="E25" s="1754"/>
      <c r="F25" s="1754"/>
    </row>
    <row r="26" spans="1:6" s="8" customFormat="1" ht="25.5" x14ac:dyDescent="0.2">
      <c r="A26" s="1643">
        <v>3.3</v>
      </c>
      <c r="B26" s="1645" t="s">
        <v>639</v>
      </c>
      <c r="C26" s="1630">
        <v>746.64</v>
      </c>
      <c r="D26" s="1631" t="s">
        <v>10</v>
      </c>
      <c r="E26" s="1754"/>
      <c r="F26" s="1754"/>
    </row>
    <row r="27" spans="1:6" s="8" customFormat="1" ht="25.5" x14ac:dyDescent="0.2">
      <c r="A27" s="1643">
        <v>3.4</v>
      </c>
      <c r="B27" s="1646" t="s">
        <v>726</v>
      </c>
      <c r="C27" s="1637">
        <v>3103.13</v>
      </c>
      <c r="D27" s="1638" t="s">
        <v>10</v>
      </c>
      <c r="E27" s="1757"/>
      <c r="F27" s="1757"/>
    </row>
    <row r="28" spans="1:6" s="8" customFormat="1" ht="25.5" x14ac:dyDescent="0.2">
      <c r="A28" s="1643">
        <v>3.5</v>
      </c>
      <c r="B28" s="1644" t="s">
        <v>787</v>
      </c>
      <c r="C28" s="1637">
        <v>1402.37</v>
      </c>
      <c r="D28" s="1638" t="s">
        <v>10</v>
      </c>
      <c r="E28" s="1757"/>
      <c r="F28" s="1757"/>
    </row>
    <row r="29" spans="1:6" s="866" customFormat="1" x14ac:dyDescent="0.2">
      <c r="A29" s="1628"/>
      <c r="B29" s="1629"/>
      <c r="C29" s="1630"/>
      <c r="D29" s="1631"/>
      <c r="E29" s="1754"/>
      <c r="F29" s="1754"/>
    </row>
    <row r="30" spans="1:6" s="8" customFormat="1" ht="12.75" customHeight="1" x14ac:dyDescent="0.2">
      <c r="A30" s="1640">
        <v>4</v>
      </c>
      <c r="B30" s="1641" t="s">
        <v>11</v>
      </c>
      <c r="C30" s="1642"/>
      <c r="D30" s="1626"/>
      <c r="E30" s="1758"/>
      <c r="F30" s="1754"/>
    </row>
    <row r="31" spans="1:6" s="8" customFormat="1" ht="24" customHeight="1" x14ac:dyDescent="0.2">
      <c r="A31" s="1628">
        <v>4.0999999999999996</v>
      </c>
      <c r="B31" s="1629" t="s">
        <v>606</v>
      </c>
      <c r="C31" s="1630">
        <v>2593.59</v>
      </c>
      <c r="D31" s="1631" t="s">
        <v>8</v>
      </c>
      <c r="E31" s="1754"/>
      <c r="F31" s="1754"/>
    </row>
    <row r="32" spans="1:6" s="1" customFormat="1" ht="25.5" customHeight="1" x14ac:dyDescent="0.2">
      <c r="A32" s="1628">
        <v>4.2</v>
      </c>
      <c r="B32" s="1629" t="s">
        <v>41</v>
      </c>
      <c r="C32" s="1630">
        <v>3609.26</v>
      </c>
      <c r="D32" s="1631" t="s">
        <v>8</v>
      </c>
      <c r="E32" s="1754"/>
      <c r="F32" s="1754"/>
    </row>
    <row r="33" spans="1:10" s="1" customFormat="1" ht="6.75" customHeight="1" x14ac:dyDescent="0.2">
      <c r="A33" s="1628"/>
      <c r="B33" s="1629"/>
      <c r="C33" s="1630"/>
      <c r="D33" s="1631"/>
      <c r="E33" s="1754"/>
      <c r="F33" s="1754"/>
    </row>
    <row r="34" spans="1:10" s="8" customFormat="1" ht="15.75" customHeight="1" x14ac:dyDescent="0.2">
      <c r="A34" s="1640">
        <v>5</v>
      </c>
      <c r="B34" s="1641" t="s">
        <v>12</v>
      </c>
      <c r="C34" s="1642"/>
      <c r="D34" s="1626"/>
      <c r="E34" s="1758"/>
      <c r="F34" s="1754"/>
    </row>
    <row r="35" spans="1:10" s="1" customFormat="1" ht="26.25" customHeight="1" x14ac:dyDescent="0.2">
      <c r="A35" s="1628">
        <v>5.0999999999999996</v>
      </c>
      <c r="B35" s="1629" t="s">
        <v>606</v>
      </c>
      <c r="C35" s="1647">
        <v>2593.59</v>
      </c>
      <c r="D35" s="1631" t="s">
        <v>8</v>
      </c>
      <c r="E35" s="1754"/>
      <c r="F35" s="1754"/>
    </row>
    <row r="36" spans="1:10" s="1" customFormat="1" ht="26.25" customHeight="1" x14ac:dyDescent="0.2">
      <c r="A36" s="1628">
        <v>5.2</v>
      </c>
      <c r="B36" s="1629" t="s">
        <v>41</v>
      </c>
      <c r="C36" s="1630">
        <v>3609.26</v>
      </c>
      <c r="D36" s="1631" t="s">
        <v>8</v>
      </c>
      <c r="E36" s="1754"/>
      <c r="F36" s="1754"/>
    </row>
    <row r="37" spans="1:10" s="1" customFormat="1" x14ac:dyDescent="0.2">
      <c r="A37" s="1628"/>
      <c r="B37" s="1629"/>
      <c r="C37" s="1630"/>
      <c r="D37" s="1631"/>
      <c r="E37" s="1754"/>
      <c r="F37" s="1754"/>
    </row>
    <row r="38" spans="1:10" s="1" customFormat="1" ht="21.75" customHeight="1" x14ac:dyDescent="0.2">
      <c r="A38" s="1640">
        <v>6</v>
      </c>
      <c r="B38" s="1641" t="s">
        <v>612</v>
      </c>
      <c r="C38" s="1630"/>
      <c r="D38" s="1631"/>
      <c r="E38" s="1754"/>
      <c r="F38" s="1754"/>
    </row>
    <row r="39" spans="1:10" s="1" customFormat="1" ht="24" customHeight="1" x14ac:dyDescent="0.2">
      <c r="A39" s="1628">
        <v>6.1</v>
      </c>
      <c r="B39" s="1636" t="s">
        <v>773</v>
      </c>
      <c r="C39" s="1630">
        <v>1</v>
      </c>
      <c r="D39" s="1631" t="s">
        <v>24</v>
      </c>
      <c r="E39" s="1754"/>
      <c r="F39" s="1754"/>
      <c r="I39" s="1562"/>
      <c r="J39" s="1562"/>
    </row>
    <row r="40" spans="1:10" s="1" customFormat="1" ht="27.75" customHeight="1" x14ac:dyDescent="0.2">
      <c r="A40" s="1628">
        <v>6.3</v>
      </c>
      <c r="B40" s="1636" t="s">
        <v>873</v>
      </c>
      <c r="C40" s="1630">
        <v>2</v>
      </c>
      <c r="D40" s="1631" t="s">
        <v>24</v>
      </c>
      <c r="E40" s="1754"/>
      <c r="F40" s="1754"/>
    </row>
    <row r="41" spans="1:10" s="59" customFormat="1" ht="25.5" customHeight="1" x14ac:dyDescent="0.2">
      <c r="A41" s="1628">
        <v>6.5</v>
      </c>
      <c r="B41" s="1636" t="s">
        <v>774</v>
      </c>
      <c r="C41" s="1630">
        <v>1</v>
      </c>
      <c r="D41" s="1631" t="s">
        <v>24</v>
      </c>
      <c r="E41" s="1754"/>
      <c r="F41" s="1754"/>
      <c r="G41" s="1"/>
    </row>
    <row r="42" spans="1:10" s="59" customFormat="1" ht="26.25" customHeight="1" x14ac:dyDescent="0.2">
      <c r="A42" s="1628">
        <v>6.7</v>
      </c>
      <c r="B42" s="1636" t="s">
        <v>775</v>
      </c>
      <c r="C42" s="1630">
        <v>6</v>
      </c>
      <c r="D42" s="1631" t="s">
        <v>24</v>
      </c>
      <c r="E42" s="1754"/>
      <c r="F42" s="1754"/>
      <c r="G42" s="1"/>
    </row>
    <row r="43" spans="1:10" s="59" customFormat="1" ht="26.25" customHeight="1" x14ac:dyDescent="0.2">
      <c r="A43" s="1648">
        <v>6.8</v>
      </c>
      <c r="B43" s="1649" t="s">
        <v>776</v>
      </c>
      <c r="C43" s="1650">
        <v>1</v>
      </c>
      <c r="D43" s="1651" t="s">
        <v>24</v>
      </c>
      <c r="E43" s="1759"/>
      <c r="F43" s="1759"/>
      <c r="G43" s="1"/>
    </row>
    <row r="44" spans="1:10" s="59" customFormat="1" ht="29.25" customHeight="1" x14ac:dyDescent="0.2">
      <c r="A44" s="1652">
        <v>6.1</v>
      </c>
      <c r="B44" s="1636" t="s">
        <v>951</v>
      </c>
      <c r="C44" s="1630">
        <v>6</v>
      </c>
      <c r="D44" s="1631" t="s">
        <v>24</v>
      </c>
      <c r="E44" s="1754"/>
      <c r="F44" s="1754"/>
      <c r="G44" s="1"/>
    </row>
    <row r="45" spans="1:10" s="59" customFormat="1" ht="29.25" customHeight="1" x14ac:dyDescent="0.2">
      <c r="A45" s="1652">
        <v>6.1</v>
      </c>
      <c r="B45" s="1636" t="s">
        <v>930</v>
      </c>
      <c r="C45" s="1630">
        <v>3</v>
      </c>
      <c r="D45" s="1631" t="s">
        <v>24</v>
      </c>
      <c r="E45" s="1754"/>
      <c r="F45" s="1754"/>
      <c r="G45" s="1"/>
    </row>
    <row r="46" spans="1:10" s="59" customFormat="1" ht="29.25" customHeight="1" x14ac:dyDescent="0.2">
      <c r="A46" s="1652">
        <v>6.1</v>
      </c>
      <c r="B46" s="1636" t="s">
        <v>931</v>
      </c>
      <c r="C46" s="1630">
        <v>7</v>
      </c>
      <c r="D46" s="1631" t="s">
        <v>24</v>
      </c>
      <c r="E46" s="1754"/>
      <c r="F46" s="1754"/>
      <c r="G46" s="1"/>
    </row>
    <row r="47" spans="1:10" s="1560" customFormat="1" ht="23.25" customHeight="1" x14ac:dyDescent="0.2">
      <c r="A47" s="1628">
        <v>6.11</v>
      </c>
      <c r="B47" s="1636" t="s">
        <v>874</v>
      </c>
      <c r="C47" s="1630">
        <v>2</v>
      </c>
      <c r="D47" s="1631" t="s">
        <v>24</v>
      </c>
      <c r="E47" s="1754"/>
      <c r="F47" s="1754"/>
      <c r="G47" s="1"/>
    </row>
    <row r="48" spans="1:10" s="1561" customFormat="1" ht="27.75" customHeight="1" x14ac:dyDescent="0.2">
      <c r="A48" s="1653">
        <v>6.11</v>
      </c>
      <c r="B48" s="1636" t="s">
        <v>952</v>
      </c>
      <c r="C48" s="1637">
        <v>4</v>
      </c>
      <c r="D48" s="1638" t="s">
        <v>24</v>
      </c>
      <c r="E48" s="1757"/>
      <c r="F48" s="1757"/>
      <c r="G48" s="1"/>
      <c r="I48" s="1560"/>
    </row>
    <row r="49" spans="1:10" s="59" customFormat="1" ht="37.5" customHeight="1" x14ac:dyDescent="0.2">
      <c r="A49" s="1652">
        <v>6.14</v>
      </c>
      <c r="B49" s="1636" t="s">
        <v>875</v>
      </c>
      <c r="C49" s="1630">
        <v>1</v>
      </c>
      <c r="D49" s="1631" t="s">
        <v>24</v>
      </c>
      <c r="E49" s="1754"/>
      <c r="F49" s="1754"/>
    </row>
    <row r="50" spans="1:10" s="1" customFormat="1" ht="37.5" customHeight="1" x14ac:dyDescent="0.2">
      <c r="A50" s="1628">
        <v>6.15</v>
      </c>
      <c r="B50" s="1636" t="s">
        <v>876</v>
      </c>
      <c r="C50" s="1630">
        <v>17</v>
      </c>
      <c r="D50" s="1631" t="s">
        <v>24</v>
      </c>
      <c r="E50" s="1754"/>
      <c r="F50" s="1754"/>
      <c r="G50" s="59"/>
    </row>
    <row r="51" spans="1:10" s="1" customFormat="1" ht="37.5" customHeight="1" x14ac:dyDescent="0.2">
      <c r="A51" s="1652">
        <v>6.16</v>
      </c>
      <c r="B51" s="1636" t="s">
        <v>777</v>
      </c>
      <c r="C51" s="1630">
        <v>6</v>
      </c>
      <c r="D51" s="1631" t="s">
        <v>24</v>
      </c>
      <c r="E51" s="1754"/>
      <c r="F51" s="1754"/>
      <c r="G51" s="59"/>
    </row>
    <row r="52" spans="1:10" s="1" customFormat="1" ht="37.5" customHeight="1" x14ac:dyDescent="0.2">
      <c r="A52" s="1628">
        <v>6.17</v>
      </c>
      <c r="B52" s="1636" t="s">
        <v>879</v>
      </c>
      <c r="C52" s="1630">
        <v>1</v>
      </c>
      <c r="D52" s="1631" t="s">
        <v>24</v>
      </c>
      <c r="E52" s="1754"/>
      <c r="F52" s="1754"/>
    </row>
    <row r="53" spans="1:10" s="1560" customFormat="1" ht="37.5" customHeight="1" x14ac:dyDescent="0.2">
      <c r="A53" s="1652">
        <v>6.1800000000000104</v>
      </c>
      <c r="B53" s="1636" t="s">
        <v>880</v>
      </c>
      <c r="C53" s="1630">
        <v>1</v>
      </c>
      <c r="D53" s="1631" t="s">
        <v>24</v>
      </c>
      <c r="E53" s="1754"/>
      <c r="F53" s="1754"/>
    </row>
    <row r="54" spans="1:10" s="1" customFormat="1" ht="37.5" customHeight="1" x14ac:dyDescent="0.2">
      <c r="A54" s="1652">
        <v>6.19</v>
      </c>
      <c r="B54" s="1636" t="s">
        <v>877</v>
      </c>
      <c r="C54" s="1630">
        <v>1</v>
      </c>
      <c r="D54" s="1631" t="s">
        <v>24</v>
      </c>
      <c r="E54" s="1754"/>
      <c r="F54" s="1754"/>
    </row>
    <row r="55" spans="1:10" s="1" customFormat="1" ht="37.5" customHeight="1" x14ac:dyDescent="0.2">
      <c r="A55" s="1652">
        <v>6.2</v>
      </c>
      <c r="B55" s="1636" t="s">
        <v>878</v>
      </c>
      <c r="C55" s="1630">
        <v>1</v>
      </c>
      <c r="D55" s="1631" t="s">
        <v>24</v>
      </c>
      <c r="E55" s="1754"/>
      <c r="F55" s="1754"/>
    </row>
    <row r="56" spans="1:10" s="1" customFormat="1" ht="37.5" customHeight="1" x14ac:dyDescent="0.2">
      <c r="A56" s="1652">
        <v>6.21</v>
      </c>
      <c r="B56" s="1636" t="s">
        <v>778</v>
      </c>
      <c r="C56" s="1630">
        <v>2</v>
      </c>
      <c r="D56" s="1631" t="s">
        <v>24</v>
      </c>
      <c r="E56" s="1754"/>
      <c r="F56" s="1754"/>
    </row>
    <row r="57" spans="1:10" s="1" customFormat="1" ht="37.5" customHeight="1" x14ac:dyDescent="0.2">
      <c r="A57" s="1628">
        <v>6.22</v>
      </c>
      <c r="B57" s="1636" t="s">
        <v>928</v>
      </c>
      <c r="C57" s="1630">
        <v>10</v>
      </c>
      <c r="D57" s="1631" t="s">
        <v>24</v>
      </c>
      <c r="E57" s="1754"/>
      <c r="F57" s="1754"/>
      <c r="G57" s="1556"/>
      <c r="H57" s="1563"/>
      <c r="J57" s="1563"/>
    </row>
    <row r="58" spans="1:10" s="1" customFormat="1" ht="28.5" customHeight="1" x14ac:dyDescent="0.2">
      <c r="A58" s="1628">
        <v>6.23</v>
      </c>
      <c r="B58" s="1636" t="s">
        <v>953</v>
      </c>
      <c r="C58" s="1630">
        <v>3</v>
      </c>
      <c r="D58" s="1631" t="s">
        <v>24</v>
      </c>
      <c r="E58" s="1754"/>
      <c r="F58" s="1754"/>
    </row>
    <row r="59" spans="1:10" s="1" customFormat="1" ht="28.5" customHeight="1" x14ac:dyDescent="0.2">
      <c r="A59" s="1628">
        <v>6.24</v>
      </c>
      <c r="B59" s="1636" t="s">
        <v>950</v>
      </c>
      <c r="C59" s="1630">
        <v>25</v>
      </c>
      <c r="D59" s="1631" t="s">
        <v>24</v>
      </c>
      <c r="E59" s="1754"/>
      <c r="F59" s="1754"/>
    </row>
    <row r="60" spans="1:10" s="1" customFormat="1" ht="28.5" customHeight="1" x14ac:dyDescent="0.2">
      <c r="A60" s="1628">
        <v>6.25</v>
      </c>
      <c r="B60" s="1636" t="s">
        <v>949</v>
      </c>
      <c r="C60" s="1630">
        <v>83</v>
      </c>
      <c r="D60" s="1631" t="s">
        <v>24</v>
      </c>
      <c r="E60" s="1754"/>
      <c r="F60" s="1754"/>
    </row>
    <row r="61" spans="1:10" s="1" customFormat="1" ht="12.75" customHeight="1" x14ac:dyDescent="0.2">
      <c r="A61" s="1628"/>
      <c r="B61" s="1636"/>
      <c r="C61" s="1630"/>
      <c r="D61" s="1631"/>
      <c r="E61" s="1754"/>
      <c r="F61" s="1754"/>
    </row>
    <row r="62" spans="1:10" s="1" customFormat="1" ht="10.5" customHeight="1" x14ac:dyDescent="0.2">
      <c r="A62" s="1640">
        <v>7</v>
      </c>
      <c r="B62" s="1654" t="s">
        <v>696</v>
      </c>
      <c r="C62" s="1630"/>
      <c r="D62" s="1631"/>
      <c r="E62" s="1754"/>
      <c r="F62" s="1754"/>
    </row>
    <row r="63" spans="1:10" s="1" customFormat="1" ht="15" customHeight="1" x14ac:dyDescent="0.2">
      <c r="A63" s="1628">
        <v>7.1</v>
      </c>
      <c r="B63" s="1655" t="s">
        <v>923</v>
      </c>
      <c r="C63" s="1656">
        <v>61</v>
      </c>
      <c r="D63" s="1657" t="s">
        <v>24</v>
      </c>
      <c r="E63" s="1760"/>
      <c r="F63" s="1754"/>
    </row>
    <row r="64" spans="1:10" s="1" customFormat="1" ht="28.5" customHeight="1" x14ac:dyDescent="0.2">
      <c r="A64" s="1648">
        <v>7.2</v>
      </c>
      <c r="B64" s="1649" t="s">
        <v>845</v>
      </c>
      <c r="C64" s="1658">
        <v>2</v>
      </c>
      <c r="D64" s="1659" t="s">
        <v>24</v>
      </c>
      <c r="E64" s="1761"/>
      <c r="F64" s="1761"/>
    </row>
    <row r="65" spans="1:6" s="1" customFormat="1" ht="15" customHeight="1" x14ac:dyDescent="0.2">
      <c r="A65" s="1628">
        <v>7.3</v>
      </c>
      <c r="B65" s="1636" t="s">
        <v>924</v>
      </c>
      <c r="C65" s="1656">
        <v>10</v>
      </c>
      <c r="D65" s="1657" t="s">
        <v>24</v>
      </c>
      <c r="E65" s="1760"/>
      <c r="F65" s="1754"/>
    </row>
    <row r="66" spans="1:6" s="1" customFormat="1" ht="12" customHeight="1" x14ac:dyDescent="0.2">
      <c r="A66" s="1640"/>
      <c r="B66" s="1641"/>
      <c r="C66" s="1630"/>
      <c r="D66" s="1631"/>
      <c r="E66" s="1754"/>
      <c r="F66" s="1754"/>
    </row>
    <row r="67" spans="1:6" s="1" customFormat="1" x14ac:dyDescent="0.2">
      <c r="A67" s="1640">
        <v>8</v>
      </c>
      <c r="B67" s="1641" t="s">
        <v>925</v>
      </c>
      <c r="C67" s="1630"/>
      <c r="D67" s="1631"/>
      <c r="E67" s="1754"/>
      <c r="F67" s="1754"/>
    </row>
    <row r="68" spans="1:6" s="1" customFormat="1" ht="14.25" customHeight="1" x14ac:dyDescent="0.2">
      <c r="A68" s="1628">
        <v>8.1</v>
      </c>
      <c r="B68" s="1660" t="s">
        <v>903</v>
      </c>
      <c r="C68" s="1630">
        <v>3</v>
      </c>
      <c r="D68" s="1631" t="s">
        <v>24</v>
      </c>
      <c r="E68" s="1754"/>
      <c r="F68" s="1754"/>
    </row>
    <row r="69" spans="1:6" s="1" customFormat="1" ht="14.25" customHeight="1" x14ac:dyDescent="0.2">
      <c r="A69" s="1628">
        <v>8.1999999999999993</v>
      </c>
      <c r="B69" s="1660" t="s">
        <v>905</v>
      </c>
      <c r="C69" s="1630">
        <v>25</v>
      </c>
      <c r="D69" s="1631" t="s">
        <v>24</v>
      </c>
      <c r="E69" s="1754"/>
      <c r="F69" s="1754"/>
    </row>
    <row r="70" spans="1:6" s="1" customFormat="1" ht="14.25" customHeight="1" x14ac:dyDescent="0.2">
      <c r="A70" s="1628">
        <v>8.3000000000000007</v>
      </c>
      <c r="B70" s="1660" t="s">
        <v>904</v>
      </c>
      <c r="C70" s="1630">
        <v>83</v>
      </c>
      <c r="D70" s="1631" t="s">
        <v>24</v>
      </c>
      <c r="E70" s="1754"/>
      <c r="F70" s="1754"/>
    </row>
    <row r="71" spans="1:6" s="1" customFormat="1" x14ac:dyDescent="0.2">
      <c r="A71" s="1628"/>
      <c r="B71" s="1660"/>
      <c r="C71" s="1630"/>
      <c r="D71" s="1631"/>
      <c r="E71" s="1754"/>
      <c r="F71" s="1754"/>
    </row>
    <row r="72" spans="1:6" s="1" customFormat="1" ht="12.75" customHeight="1" x14ac:dyDescent="0.2">
      <c r="A72" s="1628">
        <v>9</v>
      </c>
      <c r="B72" s="1641" t="s">
        <v>925</v>
      </c>
      <c r="C72" s="1630"/>
      <c r="D72" s="1631"/>
      <c r="E72" s="1754"/>
      <c r="F72" s="1754"/>
    </row>
    <row r="73" spans="1:6" s="1" customFormat="1" ht="27.75" customHeight="1" x14ac:dyDescent="0.2">
      <c r="A73" s="1628">
        <v>9.1</v>
      </c>
      <c r="B73" s="1660" t="s">
        <v>881</v>
      </c>
      <c r="C73" s="1661">
        <v>14</v>
      </c>
      <c r="D73" s="1638" t="s">
        <v>24</v>
      </c>
      <c r="E73" s="1762"/>
      <c r="F73" s="1762"/>
    </row>
    <row r="74" spans="1:6" s="1" customFormat="1" ht="25.5" x14ac:dyDescent="0.2">
      <c r="A74" s="1628">
        <v>9.1999999999999993</v>
      </c>
      <c r="B74" s="1660" t="s">
        <v>882</v>
      </c>
      <c r="C74" s="1661">
        <v>3</v>
      </c>
      <c r="D74" s="1638" t="s">
        <v>24</v>
      </c>
      <c r="E74" s="1762"/>
      <c r="F74" s="1762"/>
    </row>
    <row r="75" spans="1:6" s="1" customFormat="1" x14ac:dyDescent="0.2">
      <c r="A75" s="1628">
        <v>9.3000000000000007</v>
      </c>
      <c r="B75" s="1660" t="s">
        <v>948</v>
      </c>
      <c r="C75" s="1661">
        <v>17</v>
      </c>
      <c r="D75" s="1638" t="s">
        <v>24</v>
      </c>
      <c r="E75" s="1762"/>
      <c r="F75" s="1762"/>
    </row>
    <row r="76" spans="1:6" s="1" customFormat="1" x14ac:dyDescent="0.2">
      <c r="A76" s="1628"/>
      <c r="B76" s="1660"/>
      <c r="C76" s="1661"/>
      <c r="D76" s="1638"/>
      <c r="E76" s="1762"/>
      <c r="F76" s="1762"/>
    </row>
    <row r="77" spans="1:6" s="1" customFormat="1" x14ac:dyDescent="0.2">
      <c r="A77" s="1628"/>
      <c r="B77" s="1629"/>
      <c r="C77" s="1630"/>
      <c r="D77" s="1631"/>
      <c r="E77" s="1754"/>
      <c r="F77" s="1754"/>
    </row>
    <row r="78" spans="1:6" s="59" customFormat="1" x14ac:dyDescent="0.2">
      <c r="A78" s="1663">
        <v>10</v>
      </c>
      <c r="B78" s="1664" t="s">
        <v>611</v>
      </c>
      <c r="C78" s="1665"/>
      <c r="D78" s="1666"/>
      <c r="E78" s="1755"/>
      <c r="F78" s="1754"/>
    </row>
    <row r="79" spans="1:6" s="59" customFormat="1" x14ac:dyDescent="0.2">
      <c r="A79" s="1667"/>
      <c r="B79" s="1645"/>
      <c r="C79" s="1665"/>
      <c r="D79" s="1666"/>
      <c r="E79" s="1755"/>
      <c r="F79" s="1754"/>
    </row>
    <row r="80" spans="1:6" s="1" customFormat="1" ht="42.75" customHeight="1" x14ac:dyDescent="0.2">
      <c r="A80" s="1640">
        <v>10.1</v>
      </c>
      <c r="B80" s="1641" t="s">
        <v>927</v>
      </c>
      <c r="C80" s="1668"/>
      <c r="D80" s="1669"/>
      <c r="E80" s="1763"/>
      <c r="F80" s="1754"/>
    </row>
    <row r="81" spans="1:6" s="1" customFormat="1" x14ac:dyDescent="0.2">
      <c r="A81" s="1670" t="s">
        <v>906</v>
      </c>
      <c r="B81" s="1671" t="s">
        <v>7</v>
      </c>
      <c r="C81" s="1661">
        <v>2</v>
      </c>
      <c r="D81" s="1657" t="s">
        <v>24</v>
      </c>
      <c r="E81" s="1764"/>
      <c r="F81" s="1754"/>
    </row>
    <row r="82" spans="1:6" s="1" customFormat="1" ht="25.5" x14ac:dyDescent="0.2">
      <c r="A82" s="1670" t="s">
        <v>907</v>
      </c>
      <c r="B82" s="1629" t="s">
        <v>890</v>
      </c>
      <c r="C82" s="1661">
        <v>12</v>
      </c>
      <c r="D82" s="1657" t="s">
        <v>8</v>
      </c>
      <c r="E82" s="1764"/>
      <c r="F82" s="1754"/>
    </row>
    <row r="83" spans="1:6" s="1" customFormat="1" ht="25.5" x14ac:dyDescent="0.2">
      <c r="A83" s="1670" t="s">
        <v>908</v>
      </c>
      <c r="B83" s="1671" t="s">
        <v>891</v>
      </c>
      <c r="C83" s="1672">
        <v>4</v>
      </c>
      <c r="D83" s="1673" t="s">
        <v>24</v>
      </c>
      <c r="E83" s="1765"/>
      <c r="F83" s="1754"/>
    </row>
    <row r="84" spans="1:6" s="1" customFormat="1" x14ac:dyDescent="0.2">
      <c r="A84" s="1670" t="s">
        <v>909</v>
      </c>
      <c r="B84" s="1674" t="s">
        <v>892</v>
      </c>
      <c r="C84" s="1672">
        <v>2</v>
      </c>
      <c r="D84" s="1673" t="s">
        <v>24</v>
      </c>
      <c r="E84" s="1765"/>
      <c r="F84" s="1754"/>
    </row>
    <row r="85" spans="1:6" s="1" customFormat="1" x14ac:dyDescent="0.2">
      <c r="A85" s="1670" t="s">
        <v>910</v>
      </c>
      <c r="B85" s="1675" t="s">
        <v>893</v>
      </c>
      <c r="C85" s="1672">
        <v>2</v>
      </c>
      <c r="D85" s="1673" t="s">
        <v>24</v>
      </c>
      <c r="E85" s="1765"/>
      <c r="F85" s="1754"/>
    </row>
    <row r="86" spans="1:6" s="1" customFormat="1" ht="51" x14ac:dyDescent="0.2">
      <c r="A86" s="1670" t="s">
        <v>911</v>
      </c>
      <c r="B86" s="1646" t="s">
        <v>888</v>
      </c>
      <c r="C86" s="1662">
        <v>8</v>
      </c>
      <c r="D86" s="1676" t="s">
        <v>336</v>
      </c>
      <c r="E86" s="1762"/>
      <c r="F86" s="1762"/>
    </row>
    <row r="87" spans="1:6" s="1" customFormat="1" x14ac:dyDescent="0.2">
      <c r="A87" s="1670" t="s">
        <v>912</v>
      </c>
      <c r="B87" s="1675" t="s">
        <v>889</v>
      </c>
      <c r="C87" s="1672">
        <v>3.83</v>
      </c>
      <c r="D87" s="1673" t="s">
        <v>16</v>
      </c>
      <c r="E87" s="1765"/>
      <c r="F87" s="1754"/>
    </row>
    <row r="88" spans="1:6" s="1" customFormat="1" x14ac:dyDescent="0.2">
      <c r="A88" s="1670" t="s">
        <v>913</v>
      </c>
      <c r="B88" s="1671" t="s">
        <v>159</v>
      </c>
      <c r="C88" s="1672">
        <v>1</v>
      </c>
      <c r="D88" s="1673" t="s">
        <v>24</v>
      </c>
      <c r="E88" s="1765"/>
      <c r="F88" s="1754"/>
    </row>
    <row r="89" spans="1:6" s="1" customFormat="1" x14ac:dyDescent="0.2">
      <c r="A89" s="1670"/>
      <c r="B89" s="1671"/>
      <c r="C89" s="1672"/>
      <c r="D89" s="1673"/>
      <c r="E89" s="1765"/>
      <c r="F89" s="1754"/>
    </row>
    <row r="90" spans="1:6" s="1" customFormat="1" ht="38.25" x14ac:dyDescent="0.2">
      <c r="A90" s="1677">
        <v>10.199999999999999</v>
      </c>
      <c r="B90" s="1678" t="s">
        <v>926</v>
      </c>
      <c r="C90" s="1665"/>
      <c r="D90" s="1666"/>
      <c r="E90" s="1755"/>
      <c r="F90" s="1754"/>
    </row>
    <row r="91" spans="1:6" s="1" customFormat="1" ht="15.75" customHeight="1" x14ac:dyDescent="0.2">
      <c r="A91" s="1670" t="s">
        <v>938</v>
      </c>
      <c r="B91" s="1671" t="s">
        <v>7</v>
      </c>
      <c r="C91" s="1661">
        <v>1</v>
      </c>
      <c r="D91" s="1657" t="s">
        <v>24</v>
      </c>
      <c r="E91" s="1764"/>
      <c r="F91" s="1754"/>
    </row>
    <row r="92" spans="1:6" s="1" customFormat="1" ht="25.5" x14ac:dyDescent="0.2">
      <c r="A92" s="1670" t="s">
        <v>939</v>
      </c>
      <c r="B92" s="1629" t="s">
        <v>885</v>
      </c>
      <c r="C92" s="1665">
        <v>12</v>
      </c>
      <c r="D92" s="1666" t="s">
        <v>15</v>
      </c>
      <c r="E92" s="1755"/>
      <c r="F92" s="1754"/>
    </row>
    <row r="93" spans="1:6" s="1" customFormat="1" ht="25.5" x14ac:dyDescent="0.2">
      <c r="A93" s="1670" t="s">
        <v>940</v>
      </c>
      <c r="B93" s="1671" t="s">
        <v>886</v>
      </c>
      <c r="C93" s="1665">
        <v>4</v>
      </c>
      <c r="D93" s="1666" t="s">
        <v>24</v>
      </c>
      <c r="E93" s="1755"/>
      <c r="F93" s="1754"/>
    </row>
    <row r="94" spans="1:6" s="1" customFormat="1" x14ac:dyDescent="0.2">
      <c r="A94" s="1670" t="s">
        <v>941</v>
      </c>
      <c r="B94" s="1674" t="s">
        <v>887</v>
      </c>
      <c r="C94" s="1665">
        <v>2</v>
      </c>
      <c r="D94" s="1666" t="s">
        <v>24</v>
      </c>
      <c r="E94" s="1755"/>
      <c r="F94" s="1754"/>
    </row>
    <row r="95" spans="1:6" s="1" customFormat="1" x14ac:dyDescent="0.2">
      <c r="A95" s="1670" t="s">
        <v>942</v>
      </c>
      <c r="B95" s="1636" t="s">
        <v>610</v>
      </c>
      <c r="C95" s="1665">
        <v>2</v>
      </c>
      <c r="D95" s="1666" t="s">
        <v>24</v>
      </c>
      <c r="E95" s="1755"/>
      <c r="F95" s="1754"/>
    </row>
    <row r="96" spans="1:6" s="1" customFormat="1" ht="22.5" customHeight="1" x14ac:dyDescent="0.2">
      <c r="A96" s="1670" t="s">
        <v>943</v>
      </c>
      <c r="B96" s="1679" t="s">
        <v>898</v>
      </c>
      <c r="C96" s="1637">
        <v>3.9000000000000004</v>
      </c>
      <c r="D96" s="1638" t="s">
        <v>10</v>
      </c>
      <c r="E96" s="1757"/>
      <c r="F96" s="1757"/>
    </row>
    <row r="97" spans="1:6" s="1" customFormat="1" x14ac:dyDescent="0.2">
      <c r="A97" s="1670" t="s">
        <v>944</v>
      </c>
      <c r="B97" s="1646" t="s">
        <v>936</v>
      </c>
      <c r="C97" s="1630">
        <v>3.7050000000000001</v>
      </c>
      <c r="D97" s="1631" t="s">
        <v>10</v>
      </c>
      <c r="E97" s="1754"/>
      <c r="F97" s="1754"/>
    </row>
    <row r="98" spans="1:6" s="1" customFormat="1" x14ac:dyDescent="0.2">
      <c r="A98" s="1680" t="s">
        <v>945</v>
      </c>
      <c r="B98" s="1681" t="s">
        <v>900</v>
      </c>
      <c r="C98" s="1650">
        <v>0.23400000000000032</v>
      </c>
      <c r="D98" s="1651" t="s">
        <v>10</v>
      </c>
      <c r="E98" s="1759"/>
      <c r="F98" s="1759"/>
    </row>
    <row r="99" spans="1:6" s="1" customFormat="1" x14ac:dyDescent="0.2">
      <c r="A99" s="1670" t="s">
        <v>946</v>
      </c>
      <c r="B99" s="1629" t="s">
        <v>894</v>
      </c>
      <c r="C99" s="1630">
        <v>1</v>
      </c>
      <c r="D99" s="1631" t="s">
        <v>3</v>
      </c>
      <c r="E99" s="1754"/>
      <c r="F99" s="1754"/>
    </row>
    <row r="100" spans="1:6" s="1" customFormat="1" ht="10.5" customHeight="1" x14ac:dyDescent="0.2">
      <c r="A100" s="1670" t="s">
        <v>947</v>
      </c>
      <c r="B100" s="1629" t="s">
        <v>38</v>
      </c>
      <c r="C100" s="1630">
        <v>1</v>
      </c>
      <c r="D100" s="1631" t="s">
        <v>24</v>
      </c>
      <c r="E100" s="1754"/>
      <c r="F100" s="1754"/>
    </row>
    <row r="101" spans="1:6" s="1" customFormat="1" x14ac:dyDescent="0.2">
      <c r="A101" s="1628"/>
      <c r="B101" s="1629"/>
      <c r="C101" s="1630"/>
      <c r="D101" s="1631"/>
      <c r="E101" s="1754"/>
      <c r="F101" s="1754"/>
    </row>
    <row r="102" spans="1:6" s="1" customFormat="1" ht="38.25" x14ac:dyDescent="0.2">
      <c r="A102" s="1682">
        <v>10.3</v>
      </c>
      <c r="B102" s="1678" t="s">
        <v>935</v>
      </c>
      <c r="C102" s="1634"/>
      <c r="D102" s="1635"/>
      <c r="E102" s="1766"/>
      <c r="F102" s="1754"/>
    </row>
    <row r="103" spans="1:6" s="1" customFormat="1" ht="16.5" customHeight="1" x14ac:dyDescent="0.2">
      <c r="A103" s="1670" t="s">
        <v>914</v>
      </c>
      <c r="B103" s="1679" t="s">
        <v>895</v>
      </c>
      <c r="C103" s="1634">
        <v>8</v>
      </c>
      <c r="D103" s="1635" t="s">
        <v>15</v>
      </c>
      <c r="E103" s="1766"/>
      <c r="F103" s="1754"/>
    </row>
    <row r="104" spans="1:6" s="1" customFormat="1" x14ac:dyDescent="0.2">
      <c r="A104" s="1670" t="s">
        <v>915</v>
      </c>
      <c r="B104" s="1679" t="s">
        <v>896</v>
      </c>
      <c r="C104" s="1634">
        <v>4</v>
      </c>
      <c r="D104" s="1635" t="s">
        <v>24</v>
      </c>
      <c r="E104" s="1766"/>
      <c r="F104" s="1754"/>
    </row>
    <row r="105" spans="1:6" s="1" customFormat="1" ht="18.75" customHeight="1" x14ac:dyDescent="0.2">
      <c r="A105" s="1670" t="s">
        <v>916</v>
      </c>
      <c r="B105" s="1636" t="s">
        <v>892</v>
      </c>
      <c r="C105" s="1683">
        <v>2</v>
      </c>
      <c r="D105" s="1635" t="s">
        <v>24</v>
      </c>
      <c r="E105" s="1767"/>
      <c r="F105" s="1757"/>
    </row>
    <row r="106" spans="1:6" s="1" customFormat="1" ht="15" customHeight="1" x14ac:dyDescent="0.2">
      <c r="A106" s="1670" t="s">
        <v>917</v>
      </c>
      <c r="B106" s="1679" t="s">
        <v>897</v>
      </c>
      <c r="C106" s="1634">
        <v>2</v>
      </c>
      <c r="D106" s="1635" t="s">
        <v>24</v>
      </c>
      <c r="E106" s="1766"/>
      <c r="F106" s="1754"/>
    </row>
    <row r="107" spans="1:6" s="1" customFormat="1" x14ac:dyDescent="0.2">
      <c r="A107" s="1670" t="s">
        <v>918</v>
      </c>
      <c r="B107" s="1679" t="s">
        <v>898</v>
      </c>
      <c r="C107" s="1684">
        <v>5.28</v>
      </c>
      <c r="D107" s="1635" t="s">
        <v>10</v>
      </c>
      <c r="E107" s="1766"/>
      <c r="F107" s="1754"/>
    </row>
    <row r="108" spans="1:6" s="1" customFormat="1" x14ac:dyDescent="0.2">
      <c r="A108" s="1670" t="s">
        <v>919</v>
      </c>
      <c r="B108" s="1646" t="s">
        <v>937</v>
      </c>
      <c r="C108" s="1684">
        <v>5.016</v>
      </c>
      <c r="D108" s="1635" t="s">
        <v>10</v>
      </c>
      <c r="E108" s="1766"/>
      <c r="F108" s="1754"/>
    </row>
    <row r="109" spans="1:6" s="1" customFormat="1" x14ac:dyDescent="0.2">
      <c r="A109" s="1670" t="s">
        <v>920</v>
      </c>
      <c r="B109" s="1679" t="s">
        <v>900</v>
      </c>
      <c r="C109" s="1684">
        <v>0.31680000000000025</v>
      </c>
      <c r="D109" s="1635" t="s">
        <v>10</v>
      </c>
      <c r="E109" s="1766"/>
      <c r="F109" s="1754"/>
    </row>
    <row r="110" spans="1:6" s="1" customFormat="1" x14ac:dyDescent="0.2">
      <c r="A110" s="1670" t="s">
        <v>921</v>
      </c>
      <c r="B110" s="1685" t="s">
        <v>894</v>
      </c>
      <c r="C110" s="1634">
        <v>1</v>
      </c>
      <c r="D110" s="1686" t="s">
        <v>43</v>
      </c>
      <c r="E110" s="1766"/>
      <c r="F110" s="1754"/>
    </row>
    <row r="111" spans="1:6" s="1" customFormat="1" x14ac:dyDescent="0.2">
      <c r="A111" s="1670" t="s">
        <v>922</v>
      </c>
      <c r="B111" s="1679" t="s">
        <v>159</v>
      </c>
      <c r="C111" s="1634">
        <v>1</v>
      </c>
      <c r="D111" s="1635" t="s">
        <v>24</v>
      </c>
      <c r="E111" s="1768"/>
      <c r="F111" s="1754"/>
    </row>
    <row r="112" spans="1:6" s="1" customFormat="1" x14ac:dyDescent="0.2">
      <c r="A112" s="1687"/>
      <c r="B112" s="1688"/>
      <c r="C112" s="1684"/>
      <c r="D112" s="1689"/>
      <c r="E112" s="1768"/>
      <c r="F112" s="1754"/>
    </row>
    <row r="113" spans="1:6" s="1" customFormat="1" x14ac:dyDescent="0.2">
      <c r="A113" s="1640">
        <v>11</v>
      </c>
      <c r="B113" s="1690" t="s">
        <v>933</v>
      </c>
      <c r="C113" s="1632"/>
      <c r="D113" s="1631"/>
      <c r="E113" s="1754"/>
      <c r="F113" s="1754"/>
    </row>
    <row r="114" spans="1:6" s="1" customFormat="1" ht="26.25" customHeight="1" x14ac:dyDescent="0.2">
      <c r="A114" s="1691">
        <v>11.1</v>
      </c>
      <c r="B114" s="1636" t="s">
        <v>779</v>
      </c>
      <c r="C114" s="1620">
        <v>170</v>
      </c>
      <c r="D114" s="1666" t="s">
        <v>24</v>
      </c>
      <c r="E114" s="1769"/>
      <c r="F114" s="1754"/>
    </row>
    <row r="115" spans="1:6" s="1" customFormat="1" ht="25.5" x14ac:dyDescent="0.2">
      <c r="A115" s="1653">
        <v>11.2</v>
      </c>
      <c r="B115" s="1636" t="s">
        <v>619</v>
      </c>
      <c r="C115" s="1620">
        <v>2040</v>
      </c>
      <c r="D115" s="1666" t="s">
        <v>8</v>
      </c>
      <c r="E115" s="1769"/>
      <c r="F115" s="1754"/>
    </row>
    <row r="116" spans="1:6" s="1" customFormat="1" ht="24" customHeight="1" x14ac:dyDescent="0.2">
      <c r="A116" s="1653">
        <v>11.3</v>
      </c>
      <c r="B116" s="1636" t="s">
        <v>780</v>
      </c>
      <c r="C116" s="1620">
        <v>340</v>
      </c>
      <c r="D116" s="1666" t="s">
        <v>24</v>
      </c>
      <c r="E116" s="1769"/>
      <c r="F116" s="1754"/>
    </row>
    <row r="117" spans="1:6" s="1" customFormat="1" ht="24" customHeight="1" x14ac:dyDescent="0.2">
      <c r="A117" s="1653">
        <v>11.4</v>
      </c>
      <c r="B117" s="1679" t="s">
        <v>781</v>
      </c>
      <c r="C117" s="1620">
        <v>340</v>
      </c>
      <c r="D117" s="1666" t="s">
        <v>24</v>
      </c>
      <c r="E117" s="1769"/>
      <c r="F117" s="1754"/>
    </row>
    <row r="118" spans="1:6" s="1" customFormat="1" ht="24" customHeight="1" x14ac:dyDescent="0.2">
      <c r="A118" s="1653">
        <v>11.5</v>
      </c>
      <c r="B118" s="1679" t="s">
        <v>782</v>
      </c>
      <c r="C118" s="1620">
        <v>255</v>
      </c>
      <c r="D118" s="1666" t="s">
        <v>8</v>
      </c>
      <c r="E118" s="1769"/>
      <c r="F118" s="1754"/>
    </row>
    <row r="119" spans="1:6" s="1" customFormat="1" x14ac:dyDescent="0.2">
      <c r="A119" s="1653">
        <v>11.6</v>
      </c>
      <c r="B119" s="1679" t="s">
        <v>783</v>
      </c>
      <c r="C119" s="1620">
        <v>170</v>
      </c>
      <c r="D119" s="1666" t="s">
        <v>24</v>
      </c>
      <c r="E119" s="1769"/>
      <c r="F119" s="1754"/>
    </row>
    <row r="120" spans="1:6" s="1" customFormat="1" ht="28.5" customHeight="1" x14ac:dyDescent="0.2">
      <c r="A120" s="1653">
        <v>11.7</v>
      </c>
      <c r="B120" s="1679" t="s">
        <v>842</v>
      </c>
      <c r="C120" s="1620">
        <v>170</v>
      </c>
      <c r="D120" s="1666" t="s">
        <v>24</v>
      </c>
      <c r="E120" s="1769"/>
      <c r="F120" s="1754"/>
    </row>
    <row r="121" spans="1:6" s="1" customFormat="1" x14ac:dyDescent="0.2">
      <c r="A121" s="1653">
        <v>11.8</v>
      </c>
      <c r="B121" s="1679" t="s">
        <v>784</v>
      </c>
      <c r="C121" s="1620">
        <v>170</v>
      </c>
      <c r="D121" s="1666" t="s">
        <v>24</v>
      </c>
      <c r="E121" s="1769"/>
      <c r="F121" s="1754"/>
    </row>
    <row r="122" spans="1:6" s="1" customFormat="1" ht="14.25" customHeight="1" x14ac:dyDescent="0.2">
      <c r="A122" s="1653">
        <v>11.9</v>
      </c>
      <c r="B122" s="1679" t="s">
        <v>42</v>
      </c>
      <c r="C122" s="1620">
        <v>170</v>
      </c>
      <c r="D122" s="1666" t="s">
        <v>24</v>
      </c>
      <c r="E122" s="1769"/>
      <c r="F122" s="1754"/>
    </row>
    <row r="123" spans="1:6" s="1" customFormat="1" ht="25.5" customHeight="1" x14ac:dyDescent="0.2">
      <c r="A123" s="1692">
        <v>11.1</v>
      </c>
      <c r="B123" s="1679" t="s">
        <v>45</v>
      </c>
      <c r="C123" s="1620">
        <v>170</v>
      </c>
      <c r="D123" s="1666" t="s">
        <v>24</v>
      </c>
      <c r="E123" s="1769"/>
      <c r="F123" s="1754"/>
    </row>
    <row r="124" spans="1:6" s="1" customFormat="1" ht="14.25" customHeight="1" x14ac:dyDescent="0.2">
      <c r="A124" s="1653">
        <v>11.11</v>
      </c>
      <c r="B124" s="1679" t="s">
        <v>785</v>
      </c>
      <c r="C124" s="1620">
        <v>170</v>
      </c>
      <c r="D124" s="1666" t="s">
        <v>24</v>
      </c>
      <c r="E124" s="1769"/>
      <c r="F124" s="1754"/>
    </row>
    <row r="125" spans="1:6" s="1" customFormat="1" x14ac:dyDescent="0.2">
      <c r="A125" s="1653">
        <v>11.12</v>
      </c>
      <c r="B125" s="1679" t="s">
        <v>786</v>
      </c>
      <c r="C125" s="1620">
        <v>336.6</v>
      </c>
      <c r="D125" s="1666" t="s">
        <v>10</v>
      </c>
      <c r="E125" s="1769"/>
      <c r="F125" s="1754"/>
    </row>
    <row r="126" spans="1:6" s="1" customFormat="1" x14ac:dyDescent="0.2">
      <c r="A126" s="1653">
        <v>11.13</v>
      </c>
      <c r="B126" s="1679" t="s">
        <v>44</v>
      </c>
      <c r="C126" s="1620">
        <v>154.69453376205789</v>
      </c>
      <c r="D126" s="1666" t="s">
        <v>24</v>
      </c>
      <c r="E126" s="1769"/>
      <c r="F126" s="1754"/>
    </row>
    <row r="127" spans="1:6" s="1" customFormat="1" ht="12" customHeight="1" x14ac:dyDescent="0.2">
      <c r="A127" s="1628"/>
      <c r="B127" s="1679"/>
      <c r="C127" s="1634"/>
      <c r="D127" s="1635"/>
      <c r="E127" s="1766"/>
      <c r="F127" s="1754"/>
    </row>
    <row r="128" spans="1:6" s="1" customFormat="1" x14ac:dyDescent="0.2">
      <c r="A128" s="1640">
        <v>12</v>
      </c>
      <c r="B128" s="1633" t="s">
        <v>934</v>
      </c>
      <c r="C128" s="1633"/>
      <c r="D128" s="1674"/>
      <c r="E128" s="1770"/>
      <c r="F128" s="1754"/>
    </row>
    <row r="129" spans="1:6" s="1" customFormat="1" ht="25.5" x14ac:dyDescent="0.2">
      <c r="A129" s="1667">
        <v>12.1</v>
      </c>
      <c r="B129" s="1693" t="s">
        <v>867</v>
      </c>
      <c r="C129" s="1683">
        <v>188.3</v>
      </c>
      <c r="D129" s="1635" t="s">
        <v>10</v>
      </c>
      <c r="E129" s="1756"/>
      <c r="F129" s="1757"/>
    </row>
    <row r="130" spans="1:6" s="1" customFormat="1" ht="25.5" x14ac:dyDescent="0.2">
      <c r="A130" s="1667">
        <v>12.2</v>
      </c>
      <c r="B130" s="1694" t="s">
        <v>864</v>
      </c>
      <c r="C130" s="1683">
        <v>225.96</v>
      </c>
      <c r="D130" s="1635" t="s">
        <v>10</v>
      </c>
      <c r="E130" s="1756"/>
      <c r="F130" s="1757"/>
    </row>
    <row r="131" spans="1:6" s="1" customFormat="1" ht="13.5" customHeight="1" x14ac:dyDescent="0.2">
      <c r="A131" s="1667">
        <v>12.3</v>
      </c>
      <c r="B131" s="1694" t="s">
        <v>884</v>
      </c>
      <c r="C131" s="1683">
        <v>214.66200000000001</v>
      </c>
      <c r="D131" s="1635" t="s">
        <v>10</v>
      </c>
      <c r="E131" s="1756"/>
      <c r="F131" s="1757"/>
    </row>
    <row r="132" spans="1:6" s="1" customFormat="1" x14ac:dyDescent="0.2">
      <c r="A132" s="1667">
        <v>12.4</v>
      </c>
      <c r="B132" s="1636" t="s">
        <v>866</v>
      </c>
      <c r="C132" s="1683">
        <v>941.51</v>
      </c>
      <c r="D132" s="1635" t="s">
        <v>16</v>
      </c>
      <c r="E132" s="1756"/>
      <c r="F132" s="1757"/>
    </row>
    <row r="133" spans="1:6" s="1" customFormat="1" ht="14.25" customHeight="1" x14ac:dyDescent="0.2">
      <c r="A133" s="1667">
        <v>12.5</v>
      </c>
      <c r="B133" s="1695" t="s">
        <v>865</v>
      </c>
      <c r="C133" s="1683">
        <v>1129.8119999999999</v>
      </c>
      <c r="D133" s="1635" t="s">
        <v>16</v>
      </c>
      <c r="E133" s="1756"/>
      <c r="F133" s="1757"/>
    </row>
    <row r="134" spans="1:6" s="1" customFormat="1" x14ac:dyDescent="0.2">
      <c r="A134" s="1696">
        <v>12.6</v>
      </c>
      <c r="B134" s="1649" t="s">
        <v>883</v>
      </c>
      <c r="C134" s="1697">
        <v>2259.6240000000003</v>
      </c>
      <c r="D134" s="1698" t="s">
        <v>836</v>
      </c>
      <c r="E134" s="1771"/>
      <c r="F134" s="1761"/>
    </row>
    <row r="135" spans="1:6" s="1" customFormat="1" x14ac:dyDescent="0.2">
      <c r="A135" s="1640"/>
      <c r="B135" s="1633"/>
      <c r="C135" s="1699"/>
      <c r="D135" s="1636"/>
      <c r="E135" s="1772"/>
      <c r="F135" s="1757"/>
    </row>
    <row r="136" spans="1:6" s="1" customFormat="1" x14ac:dyDescent="0.2">
      <c r="A136" s="1653">
        <v>13</v>
      </c>
      <c r="B136" s="1636" t="s">
        <v>771</v>
      </c>
      <c r="C136" s="1700">
        <v>1</v>
      </c>
      <c r="D136" s="1635" t="s">
        <v>24</v>
      </c>
      <c r="E136" s="1773"/>
      <c r="F136" s="1757"/>
    </row>
    <row r="137" spans="1:6" s="1" customFormat="1" x14ac:dyDescent="0.2">
      <c r="A137" s="1628"/>
      <c r="B137" s="1674"/>
      <c r="C137" s="1700"/>
      <c r="D137" s="1635"/>
      <c r="E137" s="1773"/>
      <c r="F137" s="1757"/>
    </row>
    <row r="138" spans="1:6" s="1" customFormat="1" x14ac:dyDescent="0.2">
      <c r="A138" s="1628">
        <v>14</v>
      </c>
      <c r="B138" s="1629" t="s">
        <v>772</v>
      </c>
      <c r="C138" s="1637">
        <v>6081.23</v>
      </c>
      <c r="D138" s="1638" t="s">
        <v>8</v>
      </c>
      <c r="E138" s="1757"/>
      <c r="F138" s="1757"/>
    </row>
    <row r="139" spans="1:6" s="1" customFormat="1" x14ac:dyDescent="0.2">
      <c r="A139" s="1674"/>
      <c r="B139" s="1674"/>
      <c r="C139" s="1636"/>
      <c r="D139" s="1636"/>
      <c r="E139" s="1772"/>
      <c r="F139" s="1757"/>
    </row>
    <row r="140" spans="1:6" s="1" customFormat="1" ht="25.5" x14ac:dyDescent="0.2">
      <c r="A140" s="1628">
        <v>15</v>
      </c>
      <c r="B140" s="1702" t="s">
        <v>770</v>
      </c>
      <c r="C140" s="1637">
        <v>6081.23</v>
      </c>
      <c r="D140" s="1638" t="s">
        <v>8</v>
      </c>
      <c r="E140" s="1757"/>
      <c r="F140" s="1757"/>
    </row>
    <row r="141" spans="1:6" s="1" customFormat="1" x14ac:dyDescent="0.2">
      <c r="A141" s="1628"/>
      <c r="B141" s="1702"/>
      <c r="C141" s="1637"/>
      <c r="D141" s="1638"/>
      <c r="E141" s="1757"/>
      <c r="F141" s="1757"/>
    </row>
    <row r="142" spans="1:6" s="1" customFormat="1" x14ac:dyDescent="0.2">
      <c r="A142" s="1703">
        <v>16</v>
      </c>
      <c r="B142" s="1636" t="s">
        <v>899</v>
      </c>
      <c r="C142" s="1665">
        <v>6081.23</v>
      </c>
      <c r="D142" s="1666" t="s">
        <v>8</v>
      </c>
      <c r="E142" s="1755"/>
      <c r="F142" s="1754"/>
    </row>
    <row r="143" spans="1:6" s="1" customFormat="1" x14ac:dyDescent="0.2">
      <c r="A143" s="1704"/>
      <c r="B143" s="1704" t="s">
        <v>17</v>
      </c>
      <c r="C143" s="1705"/>
      <c r="D143" s="1705"/>
      <c r="E143" s="1774"/>
      <c r="F143" s="1775"/>
    </row>
    <row r="144" spans="1:6" s="1" customFormat="1" x14ac:dyDescent="0.2">
      <c r="A144" s="1624"/>
      <c r="B144" s="1624"/>
      <c r="C144" s="1626"/>
      <c r="D144" s="1626"/>
      <c r="E144" s="1753"/>
      <c r="F144" s="1776"/>
    </row>
    <row r="145" spans="1:10" s="1" customFormat="1" ht="14.25" customHeight="1" x14ac:dyDescent="0.2">
      <c r="A145" s="1706" t="s">
        <v>46</v>
      </c>
      <c r="B145" s="1707" t="s">
        <v>47</v>
      </c>
      <c r="C145" s="1708"/>
      <c r="D145" s="1709"/>
      <c r="E145" s="1777"/>
      <c r="F145" s="1778"/>
      <c r="G145" s="1557"/>
      <c r="H145" s="1564"/>
      <c r="J145" s="1564"/>
    </row>
    <row r="146" spans="1:10" s="1" customFormat="1" ht="9" customHeight="1" x14ac:dyDescent="0.2">
      <c r="A146" s="1706"/>
      <c r="B146" s="1707"/>
      <c r="C146" s="1708"/>
      <c r="D146" s="1709"/>
      <c r="E146" s="1777"/>
      <c r="F146" s="1778"/>
    </row>
    <row r="147" spans="1:10" s="1122" customFormat="1" x14ac:dyDescent="0.2">
      <c r="A147" s="1706">
        <v>1</v>
      </c>
      <c r="B147" s="1707" t="s">
        <v>806</v>
      </c>
      <c r="C147" s="1708"/>
      <c r="D147" s="1709"/>
      <c r="E147" s="1777"/>
      <c r="F147" s="1778"/>
      <c r="G147" s="1555"/>
      <c r="H147" s="1555"/>
      <c r="J147" s="1555"/>
    </row>
    <row r="148" spans="1:10" s="1122" customFormat="1" ht="9" customHeight="1" x14ac:dyDescent="0.2">
      <c r="A148" s="1710"/>
      <c r="B148" s="1711"/>
      <c r="C148" s="1712"/>
      <c r="D148" s="1713"/>
      <c r="E148" s="1779"/>
      <c r="F148" s="1780"/>
      <c r="G148" s="1555"/>
      <c r="H148" s="1555"/>
      <c r="J148" s="1555"/>
    </row>
    <row r="149" spans="1:10" s="1122" customFormat="1" x14ac:dyDescent="0.2">
      <c r="A149" s="1714">
        <v>1.2</v>
      </c>
      <c r="B149" s="1715" t="s">
        <v>807</v>
      </c>
      <c r="C149" s="1716"/>
      <c r="D149" s="1717"/>
      <c r="E149" s="1444"/>
      <c r="F149" s="1781"/>
      <c r="G149" s="1555"/>
      <c r="H149" s="1555"/>
      <c r="J149" s="1555"/>
    </row>
    <row r="150" spans="1:10" s="1122" customFormat="1" ht="9" customHeight="1" x14ac:dyDescent="0.2">
      <c r="A150" s="1714" t="s">
        <v>677</v>
      </c>
      <c r="B150" s="1715" t="s">
        <v>808</v>
      </c>
      <c r="C150" s="1716"/>
      <c r="D150" s="1717"/>
      <c r="E150" s="1444"/>
      <c r="F150" s="1782"/>
      <c r="G150" s="1555"/>
      <c r="H150" s="1555"/>
      <c r="J150" s="1555"/>
    </row>
    <row r="151" spans="1:10" s="1484" customFormat="1" x14ac:dyDescent="0.2">
      <c r="A151" s="1718" t="s">
        <v>821</v>
      </c>
      <c r="B151" s="1719" t="s">
        <v>809</v>
      </c>
      <c r="C151" s="1701">
        <v>25</v>
      </c>
      <c r="D151" s="1635" t="s">
        <v>8</v>
      </c>
      <c r="E151" s="1443"/>
      <c r="F151" s="1781"/>
      <c r="G151" s="1555"/>
      <c r="H151" s="1555"/>
      <c r="J151" s="1555"/>
    </row>
    <row r="152" spans="1:10" s="1484" customFormat="1" x14ac:dyDescent="0.2">
      <c r="A152" s="1718" t="s">
        <v>822</v>
      </c>
      <c r="B152" s="1719" t="s">
        <v>810</v>
      </c>
      <c r="C152" s="1720">
        <v>25</v>
      </c>
      <c r="D152" s="1635" t="s">
        <v>8</v>
      </c>
      <c r="E152" s="1443"/>
      <c r="F152" s="1781"/>
      <c r="G152" s="1555"/>
      <c r="H152" s="1555"/>
      <c r="J152" s="1555"/>
    </row>
    <row r="153" spans="1:10" s="1484" customFormat="1" x14ac:dyDescent="0.2">
      <c r="A153" s="1718" t="s">
        <v>823</v>
      </c>
      <c r="B153" s="1719" t="s">
        <v>811</v>
      </c>
      <c r="C153" s="1701">
        <v>25</v>
      </c>
      <c r="D153" s="1635" t="s">
        <v>8</v>
      </c>
      <c r="E153" s="1443"/>
      <c r="F153" s="1781"/>
      <c r="G153" s="1555"/>
      <c r="H153" s="1555"/>
      <c r="J153" s="1555"/>
    </row>
    <row r="154" spans="1:10" s="1484" customFormat="1" x14ac:dyDescent="0.2">
      <c r="A154" s="1718" t="s">
        <v>824</v>
      </c>
      <c r="B154" s="1719" t="s">
        <v>812</v>
      </c>
      <c r="C154" s="1720">
        <v>10</v>
      </c>
      <c r="D154" s="1635" t="s">
        <v>8</v>
      </c>
      <c r="E154" s="1443"/>
      <c r="F154" s="1781"/>
      <c r="G154" s="1555"/>
      <c r="H154" s="1555"/>
      <c r="J154" s="1555"/>
    </row>
    <row r="155" spans="1:10" s="1484" customFormat="1" x14ac:dyDescent="0.2">
      <c r="A155" s="1718" t="s">
        <v>825</v>
      </c>
      <c r="B155" s="1719" t="s">
        <v>813</v>
      </c>
      <c r="C155" s="1720">
        <v>10</v>
      </c>
      <c r="D155" s="1635" t="s">
        <v>8</v>
      </c>
      <c r="E155" s="1443"/>
      <c r="F155" s="1781"/>
      <c r="G155" s="1555"/>
      <c r="H155" s="1555"/>
      <c r="J155" s="1555"/>
    </row>
    <row r="156" spans="1:10" s="1484" customFormat="1" x14ac:dyDescent="0.2">
      <c r="A156" s="1718"/>
      <c r="B156" s="1719"/>
      <c r="C156" s="1721">
        <v>0</v>
      </c>
      <c r="D156" s="1635"/>
      <c r="E156" s="1443"/>
      <c r="F156" s="1781"/>
      <c r="G156" s="1555"/>
      <c r="H156" s="1555"/>
      <c r="J156" s="1555"/>
    </row>
    <row r="157" spans="1:10" s="1484" customFormat="1" x14ac:dyDescent="0.2">
      <c r="A157" s="1714" t="s">
        <v>678</v>
      </c>
      <c r="B157" s="1715" t="s">
        <v>814</v>
      </c>
      <c r="C157" s="1722"/>
      <c r="D157" s="1717"/>
      <c r="E157" s="1444"/>
      <c r="F157" s="1782"/>
      <c r="G157" s="1555"/>
      <c r="H157" s="1555"/>
      <c r="J157" s="1555"/>
    </row>
    <row r="158" spans="1:10" s="1484" customFormat="1" ht="12.75" customHeight="1" x14ac:dyDescent="0.2">
      <c r="A158" s="1718" t="s">
        <v>826</v>
      </c>
      <c r="B158" s="1719" t="s">
        <v>815</v>
      </c>
      <c r="C158" s="1721">
        <v>50</v>
      </c>
      <c r="D158" s="1635" t="s">
        <v>24</v>
      </c>
      <c r="E158" s="1443"/>
      <c r="F158" s="1781"/>
      <c r="G158" s="1555"/>
      <c r="H158" s="1555"/>
      <c r="J158" s="1555"/>
    </row>
    <row r="159" spans="1:10" s="1484" customFormat="1" x14ac:dyDescent="0.2">
      <c r="A159" s="1718" t="s">
        <v>827</v>
      </c>
      <c r="B159" s="1719" t="s">
        <v>816</v>
      </c>
      <c r="C159" s="1721">
        <v>50</v>
      </c>
      <c r="D159" s="1635" t="s">
        <v>24</v>
      </c>
      <c r="E159" s="1443"/>
      <c r="F159" s="1781"/>
      <c r="G159" s="1555"/>
      <c r="H159" s="1555"/>
      <c r="J159" s="1555"/>
    </row>
    <row r="160" spans="1:10" s="1484" customFormat="1" x14ac:dyDescent="0.2">
      <c r="A160" s="1718" t="s">
        <v>828</v>
      </c>
      <c r="B160" s="1719" t="s">
        <v>817</v>
      </c>
      <c r="C160" s="1721">
        <v>50</v>
      </c>
      <c r="D160" s="1635" t="s">
        <v>24</v>
      </c>
      <c r="E160" s="1443"/>
      <c r="F160" s="1781"/>
      <c r="G160" s="1555"/>
      <c r="H160" s="1555"/>
      <c r="J160" s="1555"/>
    </row>
    <row r="161" spans="1:10" s="1484" customFormat="1" ht="12" customHeight="1" x14ac:dyDescent="0.2">
      <c r="A161" s="1718" t="s">
        <v>829</v>
      </c>
      <c r="B161" s="1719" t="s">
        <v>818</v>
      </c>
      <c r="C161" s="1721">
        <v>20</v>
      </c>
      <c r="D161" s="1635" t="s">
        <v>24</v>
      </c>
      <c r="E161" s="1443"/>
      <c r="F161" s="1781"/>
      <c r="G161" s="1555"/>
      <c r="H161" s="1555"/>
      <c r="J161" s="1555"/>
    </row>
    <row r="162" spans="1:10" s="1484" customFormat="1" x14ac:dyDescent="0.2">
      <c r="A162" s="1718" t="s">
        <v>830</v>
      </c>
      <c r="B162" s="1719" t="s">
        <v>819</v>
      </c>
      <c r="C162" s="1721">
        <v>20</v>
      </c>
      <c r="D162" s="1635" t="s">
        <v>24</v>
      </c>
      <c r="E162" s="1443"/>
      <c r="F162" s="1781"/>
      <c r="G162" s="1555"/>
      <c r="H162" s="1555"/>
      <c r="J162" s="1555"/>
    </row>
    <row r="163" spans="1:10" s="1484" customFormat="1" x14ac:dyDescent="0.2">
      <c r="A163" s="1718"/>
      <c r="B163" s="1719"/>
      <c r="C163" s="1721">
        <v>0</v>
      </c>
      <c r="D163" s="1635"/>
      <c r="E163" s="1443"/>
      <c r="F163" s="1781"/>
      <c r="G163" s="1555"/>
      <c r="H163" s="1555"/>
      <c r="J163" s="1555"/>
    </row>
    <row r="164" spans="1:10" s="1484" customFormat="1" x14ac:dyDescent="0.2">
      <c r="A164" s="1714" t="s">
        <v>679</v>
      </c>
      <c r="B164" s="1715" t="s">
        <v>562</v>
      </c>
      <c r="C164" s="1722">
        <v>0</v>
      </c>
      <c r="D164" s="1717"/>
      <c r="E164" s="1444"/>
      <c r="F164" s="1782"/>
      <c r="G164" s="1555"/>
      <c r="H164" s="1555"/>
      <c r="J164" s="1555"/>
    </row>
    <row r="165" spans="1:10" s="1484" customFormat="1" x14ac:dyDescent="0.2">
      <c r="A165" s="1718" t="s">
        <v>831</v>
      </c>
      <c r="B165" s="1719" t="s">
        <v>820</v>
      </c>
      <c r="C165" s="1721">
        <v>25</v>
      </c>
      <c r="D165" s="1635" t="s">
        <v>336</v>
      </c>
      <c r="E165" s="1443"/>
      <c r="F165" s="1781"/>
      <c r="G165" s="1555"/>
      <c r="H165" s="1555"/>
      <c r="J165" s="1555"/>
    </row>
    <row r="166" spans="1:10" s="1484" customFormat="1" x14ac:dyDescent="0.2">
      <c r="A166" s="1628"/>
      <c r="B166" s="1629"/>
      <c r="C166" s="1630"/>
      <c r="D166" s="1631"/>
      <c r="E166" s="1754"/>
      <c r="F166" s="1754"/>
      <c r="G166" s="1555"/>
      <c r="H166" s="1555"/>
      <c r="J166" s="1555"/>
    </row>
    <row r="167" spans="1:10" s="1484" customFormat="1" ht="63.75" x14ac:dyDescent="0.2">
      <c r="A167" s="1723">
        <v>2</v>
      </c>
      <c r="B167" s="1724" t="s">
        <v>642</v>
      </c>
      <c r="C167" s="1725">
        <v>1</v>
      </c>
      <c r="D167" s="1726" t="s">
        <v>24</v>
      </c>
      <c r="E167" s="1783"/>
      <c r="F167" s="1765"/>
      <c r="G167" s="1555"/>
      <c r="H167" s="1555"/>
      <c r="J167" s="1555"/>
    </row>
    <row r="168" spans="1:10" s="1484" customFormat="1" ht="14.25" customHeight="1" x14ac:dyDescent="0.2">
      <c r="A168" s="1723"/>
      <c r="B168" s="1724"/>
      <c r="C168" s="1725"/>
      <c r="D168" s="1726"/>
      <c r="E168" s="1783"/>
      <c r="F168" s="1765"/>
      <c r="G168" s="1555"/>
      <c r="H168" s="1555"/>
      <c r="J168" s="1555"/>
    </row>
    <row r="169" spans="1:10" s="1484" customFormat="1" ht="38.25" x14ac:dyDescent="0.2">
      <c r="A169" s="1723">
        <v>3</v>
      </c>
      <c r="B169" s="1727" t="s">
        <v>675</v>
      </c>
      <c r="C169" s="1783"/>
      <c r="D169" s="1726" t="s">
        <v>676</v>
      </c>
      <c r="E169" s="1783"/>
      <c r="F169" s="1765"/>
      <c r="G169" s="1555"/>
      <c r="H169" s="1555"/>
      <c r="J169" s="1555"/>
    </row>
    <row r="170" spans="1:10" s="1484" customFormat="1" x14ac:dyDescent="0.2">
      <c r="A170" s="1723"/>
      <c r="B170" s="1636"/>
      <c r="C170" s="1725"/>
      <c r="D170" s="1726"/>
      <c r="E170" s="1783"/>
      <c r="F170" s="1765"/>
      <c r="G170" s="1555"/>
      <c r="H170" s="1555"/>
      <c r="J170" s="1555"/>
    </row>
    <row r="171" spans="1:10" s="1122" customFormat="1" ht="11.25" customHeight="1" x14ac:dyDescent="0.2">
      <c r="A171" s="1728"/>
      <c r="B171" s="1729" t="s">
        <v>643</v>
      </c>
      <c r="C171" s="1730"/>
      <c r="D171" s="1731"/>
      <c r="E171" s="1784"/>
      <c r="F171" s="1785"/>
      <c r="G171" s="1555"/>
      <c r="H171" s="1555"/>
      <c r="J171" s="1555"/>
    </row>
    <row r="172" spans="1:10" s="1484" customFormat="1" x14ac:dyDescent="0.2">
      <c r="A172" s="1732"/>
      <c r="B172" s="1733"/>
      <c r="C172" s="1725"/>
      <c r="D172" s="1726"/>
      <c r="E172" s="1783"/>
      <c r="F172" s="1786"/>
      <c r="G172" s="1555"/>
      <c r="H172" s="1555"/>
      <c r="J172" s="1555"/>
    </row>
    <row r="173" spans="1:10" s="1484" customFormat="1" x14ac:dyDescent="0.2">
      <c r="A173" s="1734"/>
      <c r="B173" s="1735" t="s">
        <v>48</v>
      </c>
      <c r="C173" s="1736"/>
      <c r="D173" s="1737"/>
      <c r="E173" s="1787"/>
      <c r="F173" s="1787"/>
      <c r="G173" s="1555"/>
      <c r="H173" s="1555"/>
      <c r="J173" s="1555"/>
    </row>
    <row r="174" spans="1:10" s="1122" customFormat="1" x14ac:dyDescent="0.2">
      <c r="A174" s="1738"/>
      <c r="B174" s="1739" t="s">
        <v>48</v>
      </c>
      <c r="C174" s="1740"/>
      <c r="D174" s="1741"/>
      <c r="E174" s="1788"/>
      <c r="F174" s="1788"/>
      <c r="G174" s="1555"/>
      <c r="H174" s="1555"/>
      <c r="J174" s="1555"/>
    </row>
    <row r="175" spans="1:10" s="1122" customFormat="1" x14ac:dyDescent="0.2">
      <c r="A175" s="1628"/>
      <c r="B175" s="1629"/>
      <c r="C175" s="1630"/>
      <c r="D175" s="1631"/>
      <c r="E175" s="1754"/>
      <c r="F175" s="1758"/>
      <c r="G175" s="1555"/>
      <c r="H175" s="1555"/>
      <c r="J175" s="1555"/>
    </row>
    <row r="176" spans="1:10" s="1122" customFormat="1" x14ac:dyDescent="0.2">
      <c r="A176" s="1628"/>
      <c r="B176" s="1640" t="s">
        <v>49</v>
      </c>
      <c r="C176" s="1742"/>
      <c r="D176" s="1631"/>
      <c r="E176" s="1754"/>
      <c r="F176" s="1754"/>
      <c r="G176" s="1555"/>
      <c r="H176" s="1555"/>
      <c r="J176" s="1555"/>
    </row>
    <row r="177" spans="1:10" s="1122" customFormat="1" x14ac:dyDescent="0.2">
      <c r="A177" s="1628"/>
      <c r="B177" s="1628" t="s">
        <v>50</v>
      </c>
      <c r="C177" s="1742">
        <v>0.1</v>
      </c>
      <c r="D177" s="1631"/>
      <c r="E177" s="1754"/>
      <c r="F177" s="1754"/>
      <c r="G177" s="1555"/>
      <c r="H177" s="1555"/>
      <c r="J177" s="1555"/>
    </row>
    <row r="178" spans="1:10" s="1122" customFormat="1" x14ac:dyDescent="0.2">
      <c r="A178" s="1628"/>
      <c r="B178" s="1628" t="s">
        <v>51</v>
      </c>
      <c r="C178" s="1742">
        <v>0.04</v>
      </c>
      <c r="D178" s="1631"/>
      <c r="E178" s="1754"/>
      <c r="F178" s="1754"/>
      <c r="G178" s="1555"/>
      <c r="H178" s="1555"/>
      <c r="J178" s="1555"/>
    </row>
    <row r="179" spans="1:10" s="1122" customFormat="1" x14ac:dyDescent="0.2">
      <c r="A179" s="1628"/>
      <c r="B179" s="1628" t="s">
        <v>52</v>
      </c>
      <c r="C179" s="1742">
        <v>0.04</v>
      </c>
      <c r="D179" s="1631"/>
      <c r="E179" s="1754"/>
      <c r="F179" s="1754"/>
      <c r="G179" s="1555"/>
      <c r="H179" s="1555"/>
      <c r="J179" s="1555"/>
    </row>
    <row r="180" spans="1:10" s="1122" customFormat="1" x14ac:dyDescent="0.2">
      <c r="A180" s="1628"/>
      <c r="B180" s="1628" t="s">
        <v>53</v>
      </c>
      <c r="C180" s="1742">
        <v>0.03</v>
      </c>
      <c r="D180" s="1631"/>
      <c r="E180" s="1754"/>
      <c r="F180" s="1754"/>
      <c r="G180" s="1555"/>
      <c r="H180" s="1555"/>
      <c r="J180" s="1555"/>
    </row>
    <row r="181" spans="1:10" s="1122" customFormat="1" x14ac:dyDescent="0.2">
      <c r="A181" s="1628"/>
      <c r="B181" s="1743" t="s">
        <v>834</v>
      </c>
      <c r="C181" s="1742">
        <v>0.05</v>
      </c>
      <c r="D181" s="1631"/>
      <c r="E181" s="1754"/>
      <c r="F181" s="1754"/>
      <c r="G181" s="1555"/>
      <c r="H181" s="1555"/>
      <c r="J181" s="1555"/>
    </row>
    <row r="182" spans="1:10" s="1122" customFormat="1" ht="21.75" customHeight="1" x14ac:dyDescent="0.2">
      <c r="A182" s="1628"/>
      <c r="B182" s="1744" t="s">
        <v>832</v>
      </c>
      <c r="C182" s="1745">
        <v>0.03</v>
      </c>
      <c r="D182" s="1631"/>
      <c r="E182" s="1754"/>
      <c r="F182" s="1754"/>
      <c r="G182" s="1555"/>
      <c r="H182" s="1555"/>
      <c r="J182" s="1555"/>
    </row>
    <row r="183" spans="1:10" s="1122" customFormat="1" x14ac:dyDescent="0.2">
      <c r="A183" s="1628"/>
      <c r="B183" s="1628" t="s">
        <v>54</v>
      </c>
      <c r="C183" s="1742">
        <v>0.01</v>
      </c>
      <c r="D183" s="1631"/>
      <c r="E183" s="1754"/>
      <c r="F183" s="1754"/>
      <c r="G183" s="1555"/>
      <c r="H183" s="1555"/>
      <c r="J183" s="1555"/>
    </row>
    <row r="184" spans="1:10" s="1122" customFormat="1" x14ac:dyDescent="0.2">
      <c r="A184" s="1628"/>
      <c r="B184" s="1746" t="s">
        <v>61</v>
      </c>
      <c r="C184" s="1747">
        <v>1E-3</v>
      </c>
      <c r="D184" s="1748"/>
      <c r="E184" s="1789"/>
      <c r="F184" s="1754"/>
      <c r="G184" s="1555"/>
      <c r="H184" s="1555"/>
      <c r="J184" s="1555"/>
    </row>
    <row r="185" spans="1:10" s="1445" customFormat="1" x14ac:dyDescent="0.2">
      <c r="A185" s="1628"/>
      <c r="B185" s="1628" t="s">
        <v>55</v>
      </c>
      <c r="C185" s="1742">
        <v>0.18</v>
      </c>
      <c r="D185" s="1631"/>
      <c r="E185" s="1754"/>
      <c r="F185" s="1754"/>
      <c r="G185" s="1555"/>
      <c r="H185" s="1555"/>
      <c r="J185" s="1555"/>
    </row>
    <row r="186" spans="1:10" s="1122" customFormat="1" ht="25.5" x14ac:dyDescent="0.2">
      <c r="A186" s="1628"/>
      <c r="B186" s="1628" t="s">
        <v>56</v>
      </c>
      <c r="C186" s="1742"/>
      <c r="D186" s="1631"/>
      <c r="E186" s="1754"/>
      <c r="F186" s="1754"/>
      <c r="G186" s="1555"/>
      <c r="H186" s="1555"/>
      <c r="J186" s="1555"/>
    </row>
    <row r="187" spans="1:10" s="1122" customFormat="1" x14ac:dyDescent="0.2">
      <c r="A187" s="1628"/>
      <c r="B187" s="1749" t="s">
        <v>62</v>
      </c>
      <c r="C187" s="1750">
        <v>0.1</v>
      </c>
      <c r="D187" s="1751"/>
      <c r="E187" s="1790"/>
      <c r="F187" s="1791"/>
      <c r="G187" s="1555"/>
      <c r="H187" s="1555"/>
      <c r="J187" s="1555"/>
    </row>
    <row r="188" spans="1:10" s="1122" customFormat="1" x14ac:dyDescent="0.2">
      <c r="A188" s="1628"/>
      <c r="B188" s="1744" t="s">
        <v>833</v>
      </c>
      <c r="C188" s="1745">
        <v>1.4999999999999999E-2</v>
      </c>
      <c r="D188" s="1751"/>
      <c r="E188" s="1790"/>
      <c r="F188" s="1791"/>
      <c r="G188" s="1555"/>
      <c r="H188" s="1555"/>
      <c r="J188" s="1555"/>
    </row>
    <row r="189" spans="1:10" s="1122" customFormat="1" x14ac:dyDescent="0.2">
      <c r="A189" s="1628"/>
      <c r="B189" s="1628" t="s">
        <v>59</v>
      </c>
      <c r="C189" s="1742">
        <v>0.05</v>
      </c>
      <c r="D189" s="1631"/>
      <c r="E189" s="1754"/>
      <c r="F189" s="1754"/>
      <c r="G189" s="1555"/>
      <c r="H189" s="1555"/>
      <c r="J189" s="1555"/>
    </row>
    <row r="190" spans="1:10" s="1122" customFormat="1" x14ac:dyDescent="0.2">
      <c r="A190" s="1640"/>
      <c r="B190" s="1640" t="s">
        <v>57</v>
      </c>
      <c r="C190" s="1752"/>
      <c r="D190" s="1626"/>
      <c r="E190" s="1758"/>
      <c r="F190" s="1758"/>
      <c r="G190" s="1555"/>
      <c r="H190" s="1555"/>
      <c r="J190" s="1555"/>
    </row>
    <row r="191" spans="1:10" s="1122" customFormat="1" x14ac:dyDescent="0.2">
      <c r="A191" s="1628"/>
      <c r="B191" s="1629"/>
      <c r="C191" s="1742"/>
      <c r="D191" s="1631"/>
      <c r="E191" s="1754"/>
      <c r="F191" s="1754"/>
      <c r="G191" s="1555"/>
      <c r="H191" s="1555"/>
      <c r="J191" s="1555"/>
    </row>
    <row r="192" spans="1:10" s="1122" customFormat="1" x14ac:dyDescent="0.2">
      <c r="A192" s="1640"/>
      <c r="B192" s="1640" t="s">
        <v>58</v>
      </c>
      <c r="C192" s="1752"/>
      <c r="D192" s="1626"/>
      <c r="E192" s="1758"/>
      <c r="F192" s="1758"/>
      <c r="G192" s="1555"/>
      <c r="H192" s="1555"/>
      <c r="J192" s="1555"/>
    </row>
    <row r="193" spans="1:10" s="1122" customFormat="1" x14ac:dyDescent="0.2">
      <c r="A193" s="1628"/>
      <c r="B193" s="1628"/>
      <c r="C193" s="1742"/>
      <c r="D193" s="1631"/>
      <c r="E193" s="1754"/>
      <c r="F193" s="1754"/>
      <c r="G193" s="1555"/>
      <c r="H193" s="1555"/>
      <c r="J193" s="1555"/>
    </row>
    <row r="194" spans="1:10" s="1122" customFormat="1" x14ac:dyDescent="0.2">
      <c r="A194" s="1734"/>
      <c r="B194" s="1734" t="s">
        <v>60</v>
      </c>
      <c r="C194" s="1736"/>
      <c r="D194" s="1737"/>
      <c r="E194" s="1787"/>
      <c r="F194" s="1787"/>
      <c r="G194" s="1555"/>
      <c r="H194" s="1555"/>
      <c r="J194" s="1555"/>
    </row>
    <row r="195" spans="1:10" s="1122" customFormat="1" x14ac:dyDescent="0.2">
      <c r="A195" s="5"/>
      <c r="B195" s="5"/>
      <c r="C195" s="5"/>
      <c r="D195" s="5"/>
      <c r="E195" s="6"/>
      <c r="F195" s="6"/>
      <c r="G195" s="1555"/>
      <c r="H195" s="1555"/>
      <c r="J195" s="1555"/>
    </row>
    <row r="196" spans="1:10" s="1122" customFormat="1" x14ac:dyDescent="0.2">
      <c r="A196" s="5"/>
      <c r="B196" s="5"/>
      <c r="C196" s="5"/>
      <c r="D196" s="5"/>
      <c r="E196" s="6"/>
      <c r="F196" s="6"/>
      <c r="G196" s="1555"/>
      <c r="H196" s="1555"/>
      <c r="J196" s="1555"/>
    </row>
    <row r="197" spans="1:10" s="1122" customFormat="1" x14ac:dyDescent="0.2">
      <c r="A197" s="5"/>
      <c r="B197" s="5"/>
      <c r="C197" s="5"/>
      <c r="D197" s="5"/>
      <c r="E197" s="6"/>
      <c r="F197" s="6"/>
      <c r="G197" s="1555"/>
      <c r="H197" s="1555"/>
      <c r="J197" s="1555"/>
    </row>
    <row r="198" spans="1:10" s="1122" customFormat="1" x14ac:dyDescent="0.2">
      <c r="A198" s="5"/>
      <c r="B198" s="5"/>
      <c r="C198" s="5"/>
      <c r="D198" s="5"/>
      <c r="E198" s="6"/>
      <c r="F198" s="6"/>
      <c r="G198" s="1555"/>
      <c r="H198" s="1555"/>
      <c r="J198" s="1555"/>
    </row>
    <row r="199" spans="1:10" s="1122" customFormat="1" x14ac:dyDescent="0.2">
      <c r="A199" s="5"/>
      <c r="B199" s="5"/>
      <c r="C199" s="5"/>
      <c r="D199" s="5"/>
      <c r="E199" s="6"/>
      <c r="F199" s="6"/>
      <c r="G199" s="1555"/>
      <c r="H199" s="1555"/>
      <c r="J199" s="1555"/>
    </row>
    <row r="200" spans="1:10" s="1122" customFormat="1" x14ac:dyDescent="0.2">
      <c r="A200" s="5"/>
      <c r="B200" s="5"/>
      <c r="C200" s="5"/>
      <c r="D200" s="5"/>
      <c r="E200" s="6"/>
      <c r="F200" s="6"/>
      <c r="G200" s="1555"/>
      <c r="H200" s="1555"/>
      <c r="J200" s="1555"/>
    </row>
    <row r="201" spans="1:10" s="1445" customFormat="1" x14ac:dyDescent="0.2">
      <c r="A201" s="5"/>
      <c r="B201" s="5"/>
      <c r="C201" s="5"/>
      <c r="D201" s="5"/>
      <c r="E201" s="6"/>
      <c r="F201" s="6"/>
      <c r="G201" s="1555"/>
      <c r="H201" s="1555"/>
      <c r="J201" s="1555"/>
    </row>
    <row r="202" spans="1:10" s="1122" customFormat="1" x14ac:dyDescent="0.2">
      <c r="A202" s="5"/>
      <c r="B202" s="5"/>
      <c r="C202" s="5"/>
      <c r="D202" s="5"/>
      <c r="E202" s="6"/>
      <c r="F202" s="6"/>
      <c r="G202" s="1555"/>
      <c r="H202" s="1555"/>
      <c r="J202" s="1555"/>
    </row>
    <row r="203" spans="1:10" s="1122" customFormat="1" x14ac:dyDescent="0.2">
      <c r="A203" s="5"/>
      <c r="B203" s="5"/>
      <c r="C203" s="5"/>
      <c r="D203" s="5"/>
      <c r="E203" s="6"/>
      <c r="F203" s="6"/>
      <c r="G203" s="1555"/>
      <c r="H203" s="1555"/>
      <c r="J203" s="1555"/>
    </row>
    <row r="204" spans="1:10" s="1122" customFormat="1" x14ac:dyDescent="0.2">
      <c r="A204" s="5"/>
      <c r="B204" s="5"/>
      <c r="C204" s="5"/>
      <c r="D204" s="5"/>
      <c r="E204" s="6"/>
      <c r="F204" s="6"/>
      <c r="G204" s="1555"/>
      <c r="H204" s="1555"/>
      <c r="J204" s="1555"/>
    </row>
    <row r="205" spans="1:10" s="1122" customFormat="1" x14ac:dyDescent="0.2">
      <c r="A205" s="5"/>
      <c r="B205" s="5"/>
      <c r="C205" s="5"/>
      <c r="D205" s="5"/>
      <c r="E205" s="6"/>
      <c r="F205" s="6"/>
      <c r="G205" s="1555"/>
      <c r="H205" s="1555"/>
      <c r="J205" s="1555"/>
    </row>
    <row r="206" spans="1:10" s="1122" customFormat="1" x14ac:dyDescent="0.2">
      <c r="A206" s="5"/>
      <c r="B206" s="5"/>
      <c r="C206" s="5"/>
      <c r="D206" s="5"/>
      <c r="E206" s="6"/>
      <c r="F206" s="6"/>
      <c r="G206" s="1555"/>
      <c r="H206" s="1555"/>
      <c r="J206" s="1555"/>
    </row>
    <row r="207" spans="1:10" s="1122" customFormat="1" x14ac:dyDescent="0.2">
      <c r="A207" s="5"/>
      <c r="B207" s="5"/>
      <c r="C207" s="5"/>
      <c r="D207" s="5"/>
      <c r="E207" s="6"/>
      <c r="F207" s="6"/>
      <c r="G207" s="1555"/>
      <c r="H207" s="1555"/>
      <c r="J207" s="1555"/>
    </row>
    <row r="208" spans="1:10" s="1122" customFormat="1" x14ac:dyDescent="0.2">
      <c r="A208" s="5"/>
      <c r="B208" s="5"/>
      <c r="C208" s="5"/>
      <c r="D208" s="5"/>
      <c r="E208" s="6"/>
      <c r="F208" s="6"/>
      <c r="G208" s="1555"/>
      <c r="H208" s="1555"/>
      <c r="J208" s="1555"/>
    </row>
    <row r="209" spans="1:10" s="1122" customFormat="1" x14ac:dyDescent="0.2">
      <c r="A209" s="5"/>
      <c r="B209" s="5"/>
      <c r="C209" s="5"/>
      <c r="D209" s="5"/>
      <c r="E209" s="6"/>
      <c r="F209" s="6"/>
      <c r="G209" s="1555"/>
      <c r="H209" s="1555"/>
      <c r="J209" s="1555"/>
    </row>
    <row r="210" spans="1:10" s="1122" customFormat="1" x14ac:dyDescent="0.2">
      <c r="A210" s="5"/>
      <c r="B210" s="5"/>
      <c r="C210" s="5"/>
      <c r="D210" s="5"/>
      <c r="E210" s="6"/>
      <c r="F210" s="6"/>
      <c r="G210" s="1555"/>
      <c r="H210" s="1555"/>
      <c r="J210" s="1555"/>
    </row>
    <row r="211" spans="1:10" s="1122" customFormat="1" x14ac:dyDescent="0.2">
      <c r="A211" s="5"/>
      <c r="B211" s="5"/>
      <c r="C211" s="5"/>
      <c r="D211" s="5"/>
      <c r="E211" s="6"/>
      <c r="F211" s="6"/>
      <c r="G211" s="1555"/>
      <c r="H211" s="1555"/>
      <c r="J211" s="1555"/>
    </row>
    <row r="212" spans="1:10" s="1122" customFormat="1" x14ac:dyDescent="0.2">
      <c r="A212" s="5"/>
      <c r="B212" s="5"/>
      <c r="C212" s="5"/>
      <c r="D212" s="5"/>
      <c r="E212" s="6"/>
      <c r="F212" s="6"/>
      <c r="G212" s="1555"/>
      <c r="H212" s="1555"/>
      <c r="J212" s="1555"/>
    </row>
    <row r="213" spans="1:10" s="1122" customFormat="1" x14ac:dyDescent="0.2">
      <c r="A213" s="5"/>
      <c r="B213" s="5"/>
      <c r="C213" s="5"/>
      <c r="D213" s="5"/>
      <c r="E213" s="6"/>
      <c r="F213" s="6"/>
      <c r="G213" s="1555"/>
      <c r="H213" s="1555"/>
      <c r="J213" s="1555"/>
    </row>
    <row r="214" spans="1:10" s="1122" customFormat="1" x14ac:dyDescent="0.2">
      <c r="A214" s="5"/>
      <c r="B214" s="5"/>
      <c r="C214" s="5"/>
      <c r="D214" s="5"/>
      <c r="E214" s="6"/>
      <c r="F214" s="6"/>
      <c r="G214" s="1555"/>
      <c r="H214" s="1555"/>
      <c r="J214" s="1555"/>
    </row>
    <row r="215" spans="1:10" s="1122" customFormat="1" x14ac:dyDescent="0.2">
      <c r="A215" s="5"/>
      <c r="B215" s="5"/>
      <c r="C215" s="5"/>
      <c r="D215" s="5"/>
      <c r="E215" s="6"/>
      <c r="F215" s="6"/>
      <c r="G215" s="1555"/>
      <c r="H215" s="1555"/>
      <c r="J215" s="1555"/>
    </row>
    <row r="216" spans="1:10" s="1122" customFormat="1" x14ac:dyDescent="0.2">
      <c r="A216" s="5"/>
      <c r="B216" s="5"/>
      <c r="C216" s="5"/>
      <c r="D216" s="5"/>
      <c r="E216" s="6"/>
      <c r="F216" s="6"/>
      <c r="G216" s="1555"/>
      <c r="H216" s="1555"/>
      <c r="J216" s="1555"/>
    </row>
    <row r="217" spans="1:10" s="1122" customFormat="1" x14ac:dyDescent="0.2">
      <c r="A217" s="5"/>
      <c r="B217" s="5"/>
      <c r="C217" s="5"/>
      <c r="D217" s="5"/>
      <c r="E217" s="6"/>
      <c r="F217" s="6"/>
      <c r="G217" s="1555"/>
      <c r="H217" s="1555"/>
      <c r="J217" s="1555"/>
    </row>
    <row r="218" spans="1:10" s="1446" customFormat="1" ht="8.25" customHeight="1" x14ac:dyDescent="0.2">
      <c r="A218" s="5"/>
      <c r="B218" s="5"/>
      <c r="C218" s="5"/>
      <c r="D218" s="5"/>
      <c r="E218" s="6"/>
      <c r="F218" s="6"/>
      <c r="G218" s="1555"/>
      <c r="H218" s="1555"/>
      <c r="J218" s="1555"/>
    </row>
    <row r="219" spans="1:10" s="1122" customFormat="1" x14ac:dyDescent="0.2">
      <c r="A219" s="5"/>
      <c r="B219" s="5"/>
      <c r="C219" s="5"/>
      <c r="D219" s="5"/>
      <c r="E219" s="6"/>
      <c r="F219" s="6"/>
      <c r="G219" s="1555"/>
      <c r="H219" s="1555"/>
      <c r="J219" s="1555"/>
    </row>
    <row r="220" spans="1:10" s="1122" customFormat="1" ht="9" customHeight="1" x14ac:dyDescent="0.2">
      <c r="A220" s="5"/>
      <c r="B220" s="5"/>
      <c r="C220" s="5"/>
      <c r="D220" s="5"/>
      <c r="E220" s="6"/>
      <c r="F220" s="6"/>
      <c r="G220" s="1555"/>
      <c r="H220" s="1555"/>
      <c r="J220" s="1555"/>
    </row>
    <row r="221" spans="1:10" s="1122" customFormat="1" x14ac:dyDescent="0.2">
      <c r="A221" s="5"/>
      <c r="B221" s="5"/>
      <c r="C221" s="5"/>
      <c r="D221" s="5"/>
      <c r="E221" s="6"/>
      <c r="F221" s="6"/>
      <c r="G221" s="1555"/>
      <c r="H221" s="1555"/>
      <c r="J221" s="1555"/>
    </row>
    <row r="222" spans="1:10" s="1122" customFormat="1" ht="6.75" customHeight="1" x14ac:dyDescent="0.2">
      <c r="A222" s="5"/>
      <c r="B222" s="5"/>
      <c r="C222" s="5"/>
      <c r="D222" s="5"/>
      <c r="E222" s="6"/>
      <c r="F222" s="6"/>
      <c r="G222" s="1555"/>
      <c r="H222" s="1555"/>
      <c r="J222" s="1555"/>
    </row>
    <row r="223" spans="1:10" s="1122" customFormat="1" x14ac:dyDescent="0.2">
      <c r="A223" s="5"/>
      <c r="B223" s="5"/>
      <c r="C223" s="5"/>
      <c r="D223" s="5"/>
      <c r="E223" s="6"/>
      <c r="F223" s="6"/>
      <c r="G223" s="1555"/>
      <c r="H223" s="1555"/>
      <c r="J223" s="1555"/>
    </row>
    <row r="224" spans="1:10" s="1122" customFormat="1" ht="6" customHeight="1" x14ac:dyDescent="0.2">
      <c r="A224" s="5"/>
      <c r="B224" s="5"/>
      <c r="C224" s="5"/>
      <c r="D224" s="5"/>
      <c r="E224" s="6"/>
      <c r="F224" s="6"/>
      <c r="G224" s="1555"/>
      <c r="H224" s="1555"/>
      <c r="J224" s="1555"/>
    </row>
    <row r="225" spans="1:10" s="1122" customFormat="1" x14ac:dyDescent="0.2">
      <c r="A225" s="5"/>
      <c r="B225" s="5"/>
      <c r="C225" s="5"/>
      <c r="D225" s="5"/>
      <c r="E225" s="6"/>
      <c r="F225" s="6"/>
      <c r="G225" s="1555"/>
      <c r="H225" s="1555"/>
      <c r="J225" s="1555"/>
    </row>
    <row r="226" spans="1:10" s="1122" customFormat="1" ht="9" customHeight="1" x14ac:dyDescent="0.2">
      <c r="A226" s="5"/>
      <c r="B226" s="5"/>
      <c r="C226" s="5"/>
      <c r="D226" s="5"/>
      <c r="E226" s="6"/>
      <c r="F226" s="6"/>
      <c r="G226" s="1555"/>
      <c r="H226" s="1555"/>
      <c r="J226" s="1555"/>
    </row>
    <row r="227" spans="1:10" s="1122" customFormat="1" x14ac:dyDescent="0.2">
      <c r="A227" s="5"/>
      <c r="B227" s="5"/>
      <c r="C227" s="5"/>
      <c r="D227" s="5"/>
      <c r="E227" s="6"/>
      <c r="F227" s="6"/>
      <c r="G227" s="1555"/>
      <c r="H227" s="1555"/>
      <c r="J227" s="1555"/>
    </row>
    <row r="228" spans="1:10" s="1122" customFormat="1" x14ac:dyDescent="0.2">
      <c r="A228" s="5"/>
      <c r="B228" s="5"/>
      <c r="C228" s="5"/>
      <c r="D228" s="5"/>
      <c r="E228" s="6"/>
      <c r="F228" s="6"/>
      <c r="G228" s="1555"/>
      <c r="H228" s="1555"/>
      <c r="J228" s="1555"/>
    </row>
    <row r="229" spans="1:10" s="1122" customFormat="1" x14ac:dyDescent="0.2">
      <c r="A229" s="5"/>
      <c r="B229" s="5"/>
      <c r="C229" s="5"/>
      <c r="D229" s="5"/>
      <c r="E229" s="6"/>
      <c r="F229" s="6"/>
      <c r="G229" s="1555"/>
      <c r="H229" s="1555"/>
      <c r="J229" s="1555"/>
    </row>
    <row r="230" spans="1:10" s="1122" customFormat="1" x14ac:dyDescent="0.2">
      <c r="A230" s="5"/>
      <c r="B230" s="5"/>
      <c r="C230" s="5"/>
      <c r="D230" s="5"/>
      <c r="E230" s="6"/>
      <c r="F230" s="6"/>
      <c r="G230" s="1555"/>
      <c r="H230" s="1555"/>
      <c r="J230" s="1555"/>
    </row>
    <row r="231" spans="1:10" s="1122" customFormat="1" ht="6" customHeight="1" x14ac:dyDescent="0.2">
      <c r="A231" s="5"/>
      <c r="B231" s="5"/>
      <c r="C231" s="5"/>
      <c r="D231" s="5"/>
      <c r="E231" s="6"/>
      <c r="F231" s="6"/>
      <c r="G231" s="1555"/>
      <c r="H231" s="1555"/>
      <c r="J231" s="1555"/>
    </row>
    <row r="232" spans="1:10" s="1122" customFormat="1" x14ac:dyDescent="0.2">
      <c r="A232" s="5"/>
      <c r="B232" s="5"/>
      <c r="C232" s="5"/>
      <c r="D232" s="5"/>
      <c r="E232" s="6"/>
      <c r="F232" s="6"/>
      <c r="G232" s="1555"/>
      <c r="H232" s="1555"/>
      <c r="J232" s="1555"/>
    </row>
    <row r="233" spans="1:10" s="1122" customFormat="1" x14ac:dyDescent="0.2">
      <c r="A233" s="5"/>
      <c r="B233" s="5"/>
      <c r="C233" s="5"/>
      <c r="D233" s="5"/>
      <c r="E233" s="6"/>
      <c r="F233" s="6"/>
      <c r="G233" s="1555"/>
      <c r="H233" s="1555"/>
      <c r="J233" s="1555"/>
    </row>
    <row r="234" spans="1:10" s="1122" customFormat="1" ht="6.75" customHeight="1" x14ac:dyDescent="0.2">
      <c r="A234" s="5"/>
      <c r="B234" s="5"/>
      <c r="C234" s="5"/>
      <c r="D234" s="5"/>
      <c r="E234" s="6"/>
      <c r="F234" s="6"/>
      <c r="G234" s="1555"/>
      <c r="H234" s="1555"/>
      <c r="J234" s="1555"/>
    </row>
    <row r="235" spans="1:10" s="1122" customFormat="1" x14ac:dyDescent="0.2">
      <c r="A235" s="5"/>
      <c r="B235" s="5"/>
      <c r="C235" s="5"/>
      <c r="D235" s="5"/>
      <c r="E235" s="6"/>
      <c r="F235" s="6"/>
      <c r="G235" s="1555"/>
      <c r="H235" s="1555"/>
      <c r="J235" s="1555"/>
    </row>
    <row r="236" spans="1:10" s="1122" customFormat="1" x14ac:dyDescent="0.2">
      <c r="A236" s="5"/>
      <c r="B236" s="5"/>
      <c r="C236" s="5"/>
      <c r="D236" s="5"/>
      <c r="E236" s="6"/>
      <c r="F236" s="6"/>
      <c r="G236" s="1555"/>
      <c r="H236" s="1555"/>
      <c r="J236" s="1555"/>
    </row>
    <row r="237" spans="1:10" s="1122" customFormat="1" x14ac:dyDescent="0.2">
      <c r="A237" s="5"/>
      <c r="B237" s="5"/>
      <c r="C237" s="5"/>
      <c r="D237" s="5"/>
      <c r="E237" s="6"/>
      <c r="F237" s="6"/>
      <c r="G237" s="1555"/>
      <c r="H237" s="1555"/>
      <c r="J237" s="1555"/>
    </row>
    <row r="238" spans="1:10" s="1122" customFormat="1" x14ac:dyDescent="0.2">
      <c r="A238" s="5"/>
      <c r="B238" s="5"/>
      <c r="C238" s="5"/>
      <c r="D238" s="5"/>
      <c r="E238" s="6"/>
      <c r="F238" s="6"/>
      <c r="G238" s="1555"/>
      <c r="H238" s="1555"/>
      <c r="J238" s="1555"/>
    </row>
    <row r="239" spans="1:10" s="1122" customFormat="1" x14ac:dyDescent="0.2">
      <c r="A239" s="5"/>
      <c r="B239" s="5"/>
      <c r="C239" s="5"/>
      <c r="D239" s="5"/>
      <c r="E239" s="6"/>
      <c r="F239" s="6"/>
      <c r="G239" s="1555"/>
      <c r="H239" s="1555"/>
      <c r="J239" s="1555"/>
    </row>
    <row r="240" spans="1:10" s="1122" customFormat="1" x14ac:dyDescent="0.2">
      <c r="A240" s="5"/>
      <c r="B240" s="5"/>
      <c r="C240" s="5"/>
      <c r="D240" s="5"/>
      <c r="E240" s="6"/>
      <c r="F240" s="6"/>
      <c r="G240" s="1555"/>
      <c r="H240" s="1555"/>
      <c r="J240" s="1555"/>
    </row>
    <row r="241" spans="1:10" s="1122" customFormat="1" x14ac:dyDescent="0.2">
      <c r="A241" s="5"/>
      <c r="B241" s="5"/>
      <c r="C241" s="5"/>
      <c r="D241" s="5"/>
      <c r="E241" s="6"/>
      <c r="F241" s="6"/>
      <c r="G241" s="1555"/>
      <c r="H241" s="1555"/>
      <c r="J241" s="1555"/>
    </row>
    <row r="242" spans="1:10" s="1122" customFormat="1" x14ac:dyDescent="0.2">
      <c r="A242" s="5"/>
      <c r="B242" s="5"/>
      <c r="C242" s="5"/>
      <c r="D242" s="5"/>
      <c r="E242" s="6"/>
      <c r="F242" s="6"/>
      <c r="G242" s="1555"/>
      <c r="H242" s="1555"/>
      <c r="J242" s="1555"/>
    </row>
    <row r="243" spans="1:10" s="1122" customFormat="1" x14ac:dyDescent="0.2">
      <c r="A243" s="5"/>
      <c r="B243" s="5"/>
      <c r="C243" s="5"/>
      <c r="D243" s="5"/>
      <c r="E243" s="6"/>
      <c r="F243" s="6"/>
      <c r="G243" s="1555"/>
      <c r="H243" s="1555"/>
      <c r="J243" s="1555"/>
    </row>
    <row r="244" spans="1:10" s="1122" customFormat="1" x14ac:dyDescent="0.2">
      <c r="A244" s="5"/>
      <c r="B244" s="5"/>
      <c r="C244" s="5"/>
      <c r="D244" s="5"/>
      <c r="E244" s="6"/>
      <c r="F244" s="6"/>
      <c r="G244" s="1555"/>
      <c r="H244" s="1555"/>
      <c r="J244" s="1555"/>
    </row>
    <row r="245" spans="1:10" s="1122" customFormat="1" x14ac:dyDescent="0.2">
      <c r="A245" s="5"/>
      <c r="B245" s="5"/>
      <c r="C245" s="5"/>
      <c r="D245" s="5"/>
      <c r="E245" s="6"/>
      <c r="F245" s="6"/>
      <c r="G245" s="1555"/>
      <c r="H245" s="1555"/>
      <c r="J245" s="1555"/>
    </row>
    <row r="246" spans="1:10" s="1484" customFormat="1" x14ac:dyDescent="0.2">
      <c r="A246" s="5"/>
      <c r="B246" s="5"/>
      <c r="C246" s="5"/>
      <c r="D246" s="5"/>
      <c r="E246" s="6"/>
      <c r="F246" s="6"/>
      <c r="G246" s="1555"/>
      <c r="H246" s="1555"/>
      <c r="J246" s="1555"/>
    </row>
    <row r="247" spans="1:10" s="1122" customFormat="1" ht="7.5" customHeight="1" x14ac:dyDescent="0.2">
      <c r="A247" s="5"/>
      <c r="B247" s="5"/>
      <c r="C247" s="5"/>
      <c r="D247" s="5"/>
      <c r="E247" s="6"/>
      <c r="F247" s="6"/>
      <c r="G247" s="1555"/>
      <c r="H247" s="1555"/>
      <c r="J247" s="1555"/>
    </row>
    <row r="248" spans="1:10" s="1122" customFormat="1" x14ac:dyDescent="0.2">
      <c r="A248" s="5"/>
      <c r="B248" s="5"/>
      <c r="C248" s="5"/>
      <c r="D248" s="5"/>
      <c r="E248" s="6"/>
      <c r="F248" s="6"/>
      <c r="G248" s="1555"/>
      <c r="H248" s="1555"/>
      <c r="J248" s="1555"/>
    </row>
    <row r="249" spans="1:10" s="1122" customFormat="1" ht="7.5" customHeight="1" x14ac:dyDescent="0.2">
      <c r="A249" s="5"/>
      <c r="B249" s="5"/>
      <c r="C249" s="5"/>
      <c r="D249" s="5"/>
      <c r="E249" s="6"/>
      <c r="F249" s="6"/>
      <c r="G249" s="1555"/>
      <c r="H249" s="1555"/>
      <c r="J249" s="1555"/>
    </row>
    <row r="250" spans="1:10" s="1445" customFormat="1" ht="24.75" customHeight="1" x14ac:dyDescent="0.2">
      <c r="A250" s="5"/>
      <c r="B250" s="5"/>
      <c r="C250" s="5"/>
      <c r="D250" s="5"/>
      <c r="E250" s="6"/>
      <c r="F250" s="6"/>
      <c r="G250" s="1555"/>
      <c r="H250" s="1555"/>
      <c r="J250" s="1555"/>
    </row>
    <row r="251" spans="1:10" s="1122" customFormat="1" ht="9" customHeight="1" x14ac:dyDescent="0.2">
      <c r="A251" s="5"/>
      <c r="B251" s="5"/>
      <c r="C251" s="5"/>
      <c r="D251" s="5"/>
      <c r="E251" s="6"/>
      <c r="F251" s="6"/>
      <c r="G251" s="1555"/>
      <c r="H251" s="1555"/>
      <c r="J251" s="1555"/>
    </row>
    <row r="252" spans="1:10" s="1122" customFormat="1" x14ac:dyDescent="0.2">
      <c r="A252" s="5"/>
      <c r="B252" s="5"/>
      <c r="C252" s="5"/>
      <c r="D252" s="5"/>
      <c r="E252" s="6"/>
      <c r="F252" s="6"/>
      <c r="G252" s="1555"/>
      <c r="H252" s="1555"/>
      <c r="J252" s="1555"/>
    </row>
    <row r="253" spans="1:10" s="1122" customFormat="1" x14ac:dyDescent="0.2">
      <c r="A253" s="5"/>
      <c r="B253" s="5"/>
      <c r="C253" s="5"/>
      <c r="D253" s="5"/>
      <c r="E253" s="6"/>
      <c r="F253" s="6"/>
      <c r="G253" s="1555"/>
      <c r="H253" s="1555"/>
      <c r="J253" s="1555"/>
    </row>
    <row r="254" spans="1:10" s="1122" customFormat="1" x14ac:dyDescent="0.2">
      <c r="A254" s="5"/>
      <c r="B254" s="5"/>
      <c r="C254" s="5"/>
      <c r="D254" s="5"/>
      <c r="E254" s="6"/>
      <c r="F254" s="6"/>
      <c r="G254" s="1555"/>
      <c r="H254" s="1555"/>
      <c r="J254" s="1555"/>
    </row>
    <row r="255" spans="1:10" s="1122" customFormat="1" x14ac:dyDescent="0.2">
      <c r="A255" s="5"/>
      <c r="B255" s="5"/>
      <c r="C255" s="5"/>
      <c r="D255" s="5"/>
      <c r="E255" s="6"/>
      <c r="F255" s="6"/>
      <c r="G255" s="1555"/>
      <c r="H255" s="1555"/>
      <c r="J255" s="1555"/>
    </row>
    <row r="256" spans="1:10" s="1122" customFormat="1" x14ac:dyDescent="0.2">
      <c r="A256" s="5"/>
      <c r="B256" s="5"/>
      <c r="C256" s="5"/>
      <c r="D256" s="5"/>
      <c r="E256" s="6"/>
      <c r="F256" s="6"/>
      <c r="G256" s="1555"/>
      <c r="H256" s="1555"/>
      <c r="J256" s="1555"/>
    </row>
    <row r="257" spans="1:10" s="1122" customFormat="1" ht="8.25" customHeight="1" x14ac:dyDescent="0.2">
      <c r="A257" s="5"/>
      <c r="B257" s="5"/>
      <c r="C257" s="5"/>
      <c r="D257" s="5"/>
      <c r="E257" s="6"/>
      <c r="F257" s="6"/>
      <c r="G257" s="1555"/>
      <c r="H257" s="1555"/>
      <c r="J257" s="1555"/>
    </row>
    <row r="258" spans="1:10" s="1122" customFormat="1" ht="13.5" customHeight="1" x14ac:dyDescent="0.2">
      <c r="A258" s="5"/>
      <c r="B258" s="5"/>
      <c r="C258" s="5"/>
      <c r="D258" s="5"/>
      <c r="E258" s="6"/>
      <c r="F258" s="6"/>
      <c r="G258" s="1555"/>
      <c r="H258" s="1555"/>
      <c r="J258" s="1555"/>
    </row>
    <row r="259" spans="1:10" s="1122" customFormat="1" ht="8.25" customHeight="1" x14ac:dyDescent="0.2">
      <c r="A259" s="5"/>
      <c r="B259" s="5"/>
      <c r="C259" s="5"/>
      <c r="D259" s="5"/>
      <c r="E259" s="6"/>
      <c r="F259" s="6"/>
      <c r="G259" s="1555"/>
      <c r="H259" s="1555"/>
      <c r="J259" s="1555"/>
    </row>
    <row r="260" spans="1:10" s="1122" customFormat="1" x14ac:dyDescent="0.2">
      <c r="A260" s="5"/>
      <c r="B260" s="5"/>
      <c r="C260" s="5"/>
      <c r="D260" s="5"/>
      <c r="E260" s="6"/>
      <c r="F260" s="6"/>
      <c r="G260" s="1555"/>
      <c r="H260" s="1555"/>
      <c r="J260" s="1555"/>
    </row>
    <row r="261" spans="1:10" s="1122" customFormat="1" x14ac:dyDescent="0.2">
      <c r="A261" s="5"/>
      <c r="B261" s="5"/>
      <c r="C261" s="5"/>
      <c r="D261" s="5"/>
      <c r="E261" s="6"/>
      <c r="F261" s="6"/>
      <c r="G261" s="1555"/>
      <c r="H261" s="1555"/>
      <c r="J261" s="1555"/>
    </row>
    <row r="262" spans="1:10" s="1122" customFormat="1" x14ac:dyDescent="0.2">
      <c r="A262" s="5"/>
      <c r="B262" s="5"/>
      <c r="C262" s="5"/>
      <c r="D262" s="5"/>
      <c r="E262" s="6"/>
      <c r="F262" s="6"/>
      <c r="G262" s="1555"/>
      <c r="H262" s="1555"/>
      <c r="J262" s="1555"/>
    </row>
    <row r="263" spans="1:10" s="1122" customFormat="1" x14ac:dyDescent="0.2">
      <c r="A263" s="5"/>
      <c r="B263" s="5"/>
      <c r="C263" s="5"/>
      <c r="D263" s="5"/>
      <c r="E263" s="6"/>
      <c r="F263" s="6"/>
      <c r="G263" s="1555"/>
      <c r="H263" s="1555"/>
      <c r="J263" s="1555"/>
    </row>
    <row r="264" spans="1:10" s="1122" customFormat="1" x14ac:dyDescent="0.2">
      <c r="A264" s="5"/>
      <c r="B264" s="5"/>
      <c r="C264" s="5"/>
      <c r="D264" s="5"/>
      <c r="E264" s="6"/>
      <c r="F264" s="6"/>
      <c r="G264" s="1555"/>
      <c r="H264" s="1555"/>
      <c r="J264" s="1555"/>
    </row>
    <row r="265" spans="1:10" s="1122" customFormat="1" x14ac:dyDescent="0.2">
      <c r="A265" s="5"/>
      <c r="B265" s="5"/>
      <c r="C265" s="5"/>
      <c r="D265" s="5"/>
      <c r="E265" s="6"/>
      <c r="F265" s="6"/>
      <c r="G265" s="1555"/>
      <c r="H265" s="1555"/>
      <c r="J265" s="1555"/>
    </row>
    <row r="266" spans="1:10" s="1122" customFormat="1" ht="28.5" customHeight="1" x14ac:dyDescent="0.2">
      <c r="A266" s="5"/>
      <c r="B266" s="5"/>
      <c r="C266" s="5"/>
      <c r="D266" s="5"/>
      <c r="E266" s="6"/>
      <c r="F266" s="6"/>
      <c r="G266" s="1555"/>
      <c r="H266" s="1555"/>
      <c r="J266" s="1555"/>
    </row>
    <row r="267" spans="1:10" s="1122" customFormat="1" x14ac:dyDescent="0.2">
      <c r="A267" s="5"/>
      <c r="B267" s="5"/>
      <c r="C267" s="5"/>
      <c r="D267" s="5"/>
      <c r="E267" s="6"/>
      <c r="F267" s="6"/>
      <c r="G267" s="1555"/>
      <c r="H267" s="1555"/>
      <c r="J267" s="1555"/>
    </row>
    <row r="268" spans="1:10" s="1122" customFormat="1" ht="7.5" customHeight="1" x14ac:dyDescent="0.2">
      <c r="A268" s="5"/>
      <c r="B268" s="5"/>
      <c r="C268" s="5"/>
      <c r="D268" s="5"/>
      <c r="E268" s="6"/>
      <c r="F268" s="6"/>
      <c r="G268" s="1555"/>
      <c r="H268" s="1555"/>
      <c r="J268" s="1555"/>
    </row>
    <row r="269" spans="1:10" s="1122" customFormat="1" x14ac:dyDescent="0.2">
      <c r="A269" s="5"/>
      <c r="B269" s="5"/>
      <c r="C269" s="5"/>
      <c r="D269" s="5"/>
      <c r="E269" s="6"/>
      <c r="F269" s="6"/>
      <c r="G269" s="1555"/>
      <c r="H269" s="1555"/>
      <c r="J269" s="1555"/>
    </row>
    <row r="270" spans="1:10" s="1122" customFormat="1" ht="8.25" customHeight="1" x14ac:dyDescent="0.2">
      <c r="A270" s="5"/>
      <c r="B270" s="5"/>
      <c r="C270" s="5"/>
      <c r="D270" s="5"/>
      <c r="E270" s="6"/>
      <c r="F270" s="6"/>
      <c r="G270" s="1555"/>
      <c r="H270" s="1555"/>
      <c r="J270" s="1555"/>
    </row>
    <row r="271" spans="1:10" s="1122" customFormat="1" x14ac:dyDescent="0.2">
      <c r="A271" s="5"/>
      <c r="B271" s="5"/>
      <c r="C271" s="5"/>
      <c r="D271" s="5"/>
      <c r="E271" s="6"/>
      <c r="F271" s="6"/>
      <c r="G271" s="1555"/>
      <c r="H271" s="1555"/>
      <c r="J271" s="1555"/>
    </row>
    <row r="272" spans="1:10" s="1122" customFormat="1" ht="9" customHeight="1" x14ac:dyDescent="0.2">
      <c r="A272" s="5"/>
      <c r="B272" s="5"/>
      <c r="C272" s="5"/>
      <c r="D272" s="5"/>
      <c r="E272" s="6"/>
      <c r="F272" s="6"/>
      <c r="G272" s="1555"/>
      <c r="H272" s="1555"/>
      <c r="J272" s="1555"/>
    </row>
    <row r="273" spans="1:6" s="1" customFormat="1" x14ac:dyDescent="0.2">
      <c r="A273" s="5"/>
      <c r="B273" s="5"/>
      <c r="C273" s="5"/>
      <c r="D273" s="5"/>
      <c r="E273" s="6"/>
      <c r="F273" s="6"/>
    </row>
    <row r="274" spans="1:6" s="1" customFormat="1" ht="7.5" customHeight="1" x14ac:dyDescent="0.2">
      <c r="A274" s="5"/>
      <c r="B274" s="5"/>
      <c r="C274" s="5"/>
      <c r="D274" s="5"/>
      <c r="E274" s="6"/>
      <c r="F274" s="6"/>
    </row>
    <row r="275" spans="1:6" s="59" customFormat="1" ht="13.5" customHeight="1" x14ac:dyDescent="0.2">
      <c r="A275" s="5"/>
      <c r="B275" s="5"/>
      <c r="C275" s="5"/>
      <c r="D275" s="5"/>
      <c r="E275" s="6"/>
      <c r="F275" s="6"/>
    </row>
    <row r="276" spans="1:6" s="8" customFormat="1" ht="7.5" customHeight="1" x14ac:dyDescent="0.2">
      <c r="A276" s="5"/>
      <c r="B276" s="5"/>
      <c r="C276" s="5"/>
      <c r="D276" s="5"/>
      <c r="E276" s="6"/>
      <c r="F276" s="6"/>
    </row>
    <row r="277" spans="1:6" s="8" customFormat="1" x14ac:dyDescent="0.2">
      <c r="A277" s="5"/>
      <c r="B277" s="5"/>
      <c r="C277" s="5"/>
      <c r="D277" s="5"/>
      <c r="E277" s="6"/>
      <c r="F277" s="6"/>
    </row>
    <row r="278" spans="1:6" s="8" customFormat="1" x14ac:dyDescent="0.2">
      <c r="A278" s="5"/>
      <c r="B278" s="5"/>
      <c r="C278" s="5"/>
      <c r="D278" s="5"/>
      <c r="E278" s="6"/>
      <c r="F278" s="6"/>
    </row>
    <row r="279" spans="1:6" s="8" customFormat="1" x14ac:dyDescent="0.2">
      <c r="A279" s="5"/>
      <c r="B279" s="5"/>
      <c r="C279" s="5"/>
      <c r="D279" s="5"/>
      <c r="E279" s="6"/>
      <c r="F279" s="6"/>
    </row>
    <row r="280" spans="1:6" s="8" customFormat="1" x14ac:dyDescent="0.2">
      <c r="A280" s="5"/>
      <c r="B280" s="5"/>
      <c r="C280" s="5"/>
      <c r="D280" s="5"/>
      <c r="E280" s="6"/>
      <c r="F280" s="6"/>
    </row>
    <row r="281" spans="1:6" s="8" customFormat="1" x14ac:dyDescent="0.2">
      <c r="A281" s="5"/>
      <c r="B281" s="5"/>
      <c r="C281" s="5"/>
      <c r="D281" s="5"/>
      <c r="E281" s="6"/>
      <c r="F281" s="6"/>
    </row>
    <row r="282" spans="1:6" s="8" customFormat="1" x14ac:dyDescent="0.2">
      <c r="A282" s="5"/>
      <c r="B282" s="5"/>
      <c r="C282" s="5"/>
      <c r="D282" s="5"/>
      <c r="E282" s="6"/>
      <c r="F282" s="6"/>
    </row>
    <row r="283" spans="1:6" s="8" customFormat="1" x14ac:dyDescent="0.2">
      <c r="A283" s="5"/>
      <c r="B283" s="5"/>
      <c r="C283" s="5"/>
      <c r="D283" s="5"/>
      <c r="E283" s="6"/>
      <c r="F283" s="6"/>
    </row>
    <row r="284" spans="1:6" s="8" customFormat="1" x14ac:dyDescent="0.2">
      <c r="A284" s="5"/>
      <c r="B284" s="5"/>
      <c r="C284" s="5"/>
      <c r="D284" s="5"/>
      <c r="E284" s="6"/>
      <c r="F284" s="6"/>
    </row>
    <row r="285" spans="1:6" s="8" customFormat="1" x14ac:dyDescent="0.2">
      <c r="A285" s="5"/>
      <c r="B285" s="5"/>
      <c r="C285" s="5"/>
      <c r="D285" s="5"/>
      <c r="E285" s="6"/>
      <c r="F285" s="6"/>
    </row>
    <row r="286" spans="1:6" s="8" customFormat="1" x14ac:dyDescent="0.2">
      <c r="A286" s="5"/>
      <c r="B286" s="5"/>
      <c r="C286" s="5"/>
      <c r="D286" s="5"/>
      <c r="E286" s="6"/>
      <c r="F286" s="6"/>
    </row>
    <row r="287" spans="1:6" s="1" customFormat="1" ht="9" customHeight="1" x14ac:dyDescent="0.2">
      <c r="A287" s="5"/>
      <c r="B287" s="5"/>
      <c r="C287" s="5"/>
      <c r="D287" s="5"/>
      <c r="E287" s="6"/>
      <c r="F287" s="6"/>
    </row>
    <row r="288" spans="1:6" s="59" customFormat="1" ht="13.5" customHeight="1" x14ac:dyDescent="0.2">
      <c r="A288" s="5"/>
      <c r="B288" s="5"/>
      <c r="C288" s="5"/>
      <c r="D288" s="5"/>
      <c r="E288" s="6"/>
      <c r="F288" s="6"/>
    </row>
    <row r="289" spans="1:10" s="59" customFormat="1" ht="24.75" customHeight="1" x14ac:dyDescent="0.2">
      <c r="A289" s="5"/>
      <c r="B289" s="5"/>
      <c r="C289" s="5"/>
      <c r="D289" s="5"/>
      <c r="E289" s="6"/>
      <c r="F289" s="6"/>
    </row>
    <row r="290" spans="1:10" s="866" customFormat="1" ht="8.25" customHeight="1" x14ac:dyDescent="0.2">
      <c r="A290" s="5"/>
      <c r="B290" s="5"/>
      <c r="C290" s="5"/>
      <c r="D290" s="5"/>
      <c r="E290" s="6"/>
      <c r="F290" s="6"/>
    </row>
    <row r="291" spans="1:10" s="59" customFormat="1" ht="13.5" customHeight="1" x14ac:dyDescent="0.2">
      <c r="A291" s="5"/>
      <c r="B291" s="5"/>
      <c r="C291" s="5"/>
      <c r="D291" s="5"/>
      <c r="E291" s="6"/>
      <c r="F291" s="6"/>
    </row>
    <row r="292" spans="1:10" s="59" customFormat="1" ht="24" customHeight="1" x14ac:dyDescent="0.2">
      <c r="A292" s="5"/>
      <c r="B292" s="5"/>
      <c r="C292" s="5"/>
      <c r="D292" s="5"/>
      <c r="E292" s="6"/>
      <c r="F292" s="6"/>
    </row>
    <row r="293" spans="1:10" s="1" customFormat="1" ht="9.75" customHeight="1" x14ac:dyDescent="0.2">
      <c r="A293" s="5"/>
      <c r="B293" s="5"/>
      <c r="C293" s="5"/>
      <c r="D293" s="5"/>
      <c r="E293" s="6"/>
      <c r="F293" s="6"/>
    </row>
    <row r="294" spans="1:10" s="1" customFormat="1" ht="9.75" customHeight="1" x14ac:dyDescent="0.2">
      <c r="A294" s="5"/>
      <c r="B294" s="5"/>
      <c r="C294" s="5"/>
      <c r="D294" s="5"/>
      <c r="E294" s="6"/>
      <c r="F294" s="6"/>
    </row>
    <row r="295" spans="1:10" s="68" customFormat="1" ht="14.25" customHeight="1" x14ac:dyDescent="0.2">
      <c r="A295" s="5"/>
      <c r="B295" s="5"/>
      <c r="C295" s="5"/>
      <c r="D295" s="5"/>
      <c r="E295" s="6"/>
      <c r="F295" s="6"/>
    </row>
    <row r="296" spans="1:10" s="1122" customFormat="1" ht="9" customHeight="1" x14ac:dyDescent="0.2">
      <c r="A296" s="5"/>
      <c r="B296" s="5"/>
      <c r="C296" s="5"/>
      <c r="D296" s="5"/>
      <c r="E296" s="6"/>
      <c r="F296" s="6"/>
      <c r="G296" s="1555"/>
      <c r="H296" s="1555"/>
      <c r="J296" s="1555"/>
    </row>
    <row r="297" spans="1:10" s="68" customFormat="1" ht="27" customHeight="1" x14ac:dyDescent="0.2">
      <c r="A297" s="5"/>
      <c r="B297" s="5"/>
      <c r="C297" s="5"/>
      <c r="D297" s="5"/>
      <c r="E297" s="6"/>
      <c r="F297" s="6"/>
    </row>
    <row r="298" spans="1:10" s="1122" customFormat="1" ht="6" customHeight="1" x14ac:dyDescent="0.2">
      <c r="A298" s="5"/>
      <c r="B298" s="5"/>
      <c r="C298" s="5"/>
      <c r="D298" s="5"/>
      <c r="E298" s="6"/>
      <c r="F298" s="6"/>
      <c r="G298" s="1555"/>
      <c r="H298" s="1555"/>
      <c r="J298" s="1555"/>
    </row>
    <row r="299" spans="1:10" s="56" customFormat="1" ht="13.5" customHeight="1" x14ac:dyDescent="0.2">
      <c r="A299" s="5"/>
      <c r="B299" s="5"/>
      <c r="C299" s="5"/>
      <c r="D299" s="5"/>
      <c r="E299" s="6"/>
      <c r="F299" s="6"/>
    </row>
    <row r="300" spans="1:10" s="1122" customFormat="1" x14ac:dyDescent="0.2">
      <c r="A300" s="5"/>
      <c r="B300" s="5"/>
      <c r="C300" s="5"/>
      <c r="D300" s="5"/>
      <c r="E300" s="6"/>
      <c r="F300" s="6"/>
      <c r="G300" s="1555"/>
      <c r="H300" s="1555"/>
      <c r="J300" s="1555"/>
    </row>
    <row r="301" spans="1:10" s="1122" customFormat="1" ht="7.5" customHeight="1" x14ac:dyDescent="0.2">
      <c r="A301" s="5"/>
      <c r="B301" s="5"/>
      <c r="C301" s="5"/>
      <c r="D301" s="5"/>
      <c r="E301" s="6"/>
      <c r="F301" s="6"/>
      <c r="G301" s="1555"/>
      <c r="H301" s="1555"/>
      <c r="J301" s="1555"/>
    </row>
    <row r="302" spans="1:10" s="59" customFormat="1" x14ac:dyDescent="0.2">
      <c r="A302" s="5"/>
      <c r="B302" s="5"/>
      <c r="C302" s="5"/>
      <c r="D302" s="5"/>
      <c r="E302" s="6"/>
      <c r="F302" s="6"/>
    </row>
    <row r="303" spans="1:10" s="59" customFormat="1" ht="9.75" customHeight="1" x14ac:dyDescent="0.2">
      <c r="A303" s="5"/>
      <c r="B303" s="5"/>
      <c r="C303" s="5"/>
      <c r="D303" s="5"/>
      <c r="E303" s="6"/>
      <c r="F303" s="6"/>
    </row>
    <row r="304" spans="1:10" s="59" customFormat="1" ht="16.5" customHeight="1" x14ac:dyDescent="0.2">
      <c r="A304" s="5"/>
      <c r="B304" s="5"/>
      <c r="C304" s="5"/>
      <c r="D304" s="5"/>
      <c r="E304" s="6"/>
      <c r="F304" s="6"/>
    </row>
    <row r="305" spans="1:6" s="59" customFormat="1" x14ac:dyDescent="0.2">
      <c r="A305" s="5"/>
      <c r="B305" s="5"/>
      <c r="C305" s="5"/>
      <c r="D305" s="5"/>
      <c r="E305" s="6"/>
      <c r="F305" s="6"/>
    </row>
    <row r="306" spans="1:6" s="59" customFormat="1" x14ac:dyDescent="0.2">
      <c r="A306" s="5"/>
      <c r="B306" s="5"/>
      <c r="C306" s="5"/>
      <c r="D306" s="5"/>
      <c r="E306" s="6"/>
      <c r="F306" s="6"/>
    </row>
    <row r="307" spans="1:6" s="59" customFormat="1" x14ac:dyDescent="0.2">
      <c r="A307" s="5"/>
      <c r="B307" s="5"/>
      <c r="C307" s="5"/>
      <c r="D307" s="5"/>
      <c r="E307" s="6"/>
      <c r="F307" s="6"/>
    </row>
    <row r="308" spans="1:6" s="59" customFormat="1" ht="12" customHeight="1" x14ac:dyDescent="0.2">
      <c r="A308" s="5"/>
      <c r="B308" s="5"/>
      <c r="C308" s="5"/>
      <c r="D308" s="5"/>
      <c r="E308" s="6"/>
      <c r="F308" s="6"/>
    </row>
    <row r="309" spans="1:6" s="866" customFormat="1" x14ac:dyDescent="0.2">
      <c r="A309" s="5"/>
      <c r="B309" s="5"/>
      <c r="C309" s="5"/>
      <c r="D309" s="5"/>
      <c r="E309" s="6"/>
      <c r="F309" s="6"/>
    </row>
    <row r="310" spans="1:6" s="866" customFormat="1" x14ac:dyDescent="0.2">
      <c r="A310" s="5"/>
      <c r="B310" s="5"/>
      <c r="C310" s="5"/>
      <c r="D310" s="5"/>
      <c r="E310" s="6"/>
      <c r="F310" s="6"/>
    </row>
    <row r="311" spans="1:6" s="866" customFormat="1" x14ac:dyDescent="0.2">
      <c r="A311" s="5"/>
      <c r="B311" s="5"/>
      <c r="C311" s="5"/>
      <c r="D311" s="5"/>
      <c r="E311" s="6"/>
      <c r="F311" s="6"/>
    </row>
    <row r="312" spans="1:6" s="866" customFormat="1" x14ac:dyDescent="0.2">
      <c r="A312" s="5"/>
      <c r="B312" s="5"/>
      <c r="C312" s="5"/>
      <c r="D312" s="5"/>
      <c r="E312" s="6"/>
      <c r="F312" s="6"/>
    </row>
    <row r="313" spans="1:6" s="866" customFormat="1" x14ac:dyDescent="0.2">
      <c r="A313" s="5"/>
      <c r="B313" s="5"/>
      <c r="C313" s="5"/>
      <c r="D313" s="5"/>
      <c r="E313" s="6"/>
      <c r="F313" s="6"/>
    </row>
    <row r="314" spans="1:6" s="866" customFormat="1" x14ac:dyDescent="0.2">
      <c r="A314" s="5"/>
      <c r="B314" s="5"/>
      <c r="C314" s="5"/>
      <c r="D314" s="5"/>
      <c r="E314" s="6"/>
      <c r="F314" s="6"/>
    </row>
    <row r="315" spans="1:6" s="866" customFormat="1" x14ac:dyDescent="0.2">
      <c r="A315" s="5"/>
      <c r="B315" s="5"/>
      <c r="C315" s="5"/>
      <c r="D315" s="5"/>
      <c r="E315" s="6"/>
      <c r="F315" s="6"/>
    </row>
    <row r="316" spans="1:6" s="866" customFormat="1" x14ac:dyDescent="0.2">
      <c r="A316" s="5"/>
      <c r="B316" s="5"/>
      <c r="C316" s="5"/>
      <c r="D316" s="5"/>
      <c r="E316" s="6"/>
      <c r="F316" s="6"/>
    </row>
    <row r="317" spans="1:6" s="866" customFormat="1" x14ac:dyDescent="0.2">
      <c r="A317" s="5"/>
      <c r="B317" s="5"/>
      <c r="C317" s="5"/>
      <c r="D317" s="5"/>
      <c r="E317" s="6"/>
      <c r="F317" s="6"/>
    </row>
    <row r="318" spans="1:6" s="1" customFormat="1" ht="7.5" customHeight="1" x14ac:dyDescent="0.2">
      <c r="A318" s="5"/>
      <c r="B318" s="5"/>
      <c r="C318" s="5"/>
      <c r="D318" s="5"/>
      <c r="E318" s="6"/>
      <c r="F318" s="6"/>
    </row>
    <row r="319" spans="1:6" s="866" customFormat="1" x14ac:dyDescent="0.2">
      <c r="A319" s="5"/>
      <c r="B319" s="5"/>
      <c r="C319" s="5"/>
      <c r="D319" s="5"/>
      <c r="E319" s="6"/>
      <c r="F319" s="6"/>
    </row>
    <row r="320" spans="1:6" s="59" customFormat="1" ht="24" customHeight="1" x14ac:dyDescent="0.2">
      <c r="A320" s="5"/>
      <c r="B320" s="5"/>
      <c r="C320" s="5"/>
      <c r="D320" s="5"/>
      <c r="E320" s="6"/>
      <c r="F320" s="6"/>
    </row>
    <row r="321" spans="1:6" s="59" customFormat="1" ht="23.25" customHeight="1" x14ac:dyDescent="0.2">
      <c r="A321" s="5"/>
      <c r="B321" s="5"/>
      <c r="C321" s="5"/>
      <c r="D321" s="5"/>
      <c r="E321" s="6"/>
      <c r="F321" s="6"/>
    </row>
    <row r="322" spans="1:6" s="59" customFormat="1" ht="9.75" customHeight="1" x14ac:dyDescent="0.2">
      <c r="A322" s="5"/>
      <c r="B322" s="5"/>
      <c r="C322" s="5"/>
      <c r="D322" s="5"/>
      <c r="E322" s="6"/>
      <c r="F322" s="6"/>
    </row>
    <row r="323" spans="1:6" s="866" customFormat="1" x14ac:dyDescent="0.2">
      <c r="A323" s="5"/>
      <c r="B323" s="5"/>
      <c r="C323" s="5"/>
      <c r="D323" s="5"/>
      <c r="E323" s="6"/>
      <c r="F323" s="6"/>
    </row>
    <row r="324" spans="1:6" s="59" customFormat="1" x14ac:dyDescent="0.2">
      <c r="A324" s="5"/>
      <c r="B324" s="5"/>
      <c r="C324" s="5"/>
      <c r="D324" s="5"/>
      <c r="E324" s="6"/>
      <c r="F324" s="6"/>
    </row>
    <row r="325" spans="1:6" s="59" customFormat="1" x14ac:dyDescent="0.2">
      <c r="A325" s="5"/>
      <c r="B325" s="5"/>
      <c r="C325" s="5"/>
      <c r="D325" s="5"/>
      <c r="E325" s="6"/>
      <c r="F325" s="6"/>
    </row>
    <row r="326" spans="1:6" s="59" customFormat="1" x14ac:dyDescent="0.2">
      <c r="A326" s="5"/>
      <c r="B326" s="5"/>
      <c r="C326" s="5"/>
      <c r="D326" s="5"/>
      <c r="E326" s="6"/>
      <c r="F326" s="6"/>
    </row>
    <row r="327" spans="1:6" s="1" customFormat="1" x14ac:dyDescent="0.2">
      <c r="A327" s="5"/>
      <c r="B327" s="5"/>
      <c r="C327" s="5"/>
      <c r="D327" s="5"/>
      <c r="E327" s="6"/>
      <c r="F327" s="6"/>
    </row>
    <row r="328" spans="1:6" s="1" customFormat="1" ht="24" customHeight="1" x14ac:dyDescent="0.2">
      <c r="A328" s="5"/>
      <c r="B328" s="5"/>
      <c r="C328" s="5"/>
      <c r="D328" s="5"/>
      <c r="E328" s="6"/>
      <c r="F328" s="6"/>
    </row>
    <row r="329" spans="1:6" s="1" customFormat="1" ht="24" customHeight="1" x14ac:dyDescent="0.2">
      <c r="A329" s="5"/>
      <c r="B329" s="5"/>
      <c r="C329" s="5"/>
      <c r="D329" s="5"/>
      <c r="E329" s="6"/>
      <c r="F329" s="6"/>
    </row>
    <row r="330" spans="1:6" s="1" customFormat="1" ht="24" customHeight="1" x14ac:dyDescent="0.2">
      <c r="A330" s="5"/>
      <c r="B330" s="5"/>
      <c r="C330" s="5"/>
      <c r="D330" s="5"/>
      <c r="E330" s="6"/>
      <c r="F330" s="6"/>
    </row>
    <row r="331" spans="1:6" s="1" customFormat="1" x14ac:dyDescent="0.2">
      <c r="A331" s="5"/>
      <c r="B331" s="5"/>
      <c r="C331" s="5"/>
      <c r="D331" s="5"/>
      <c r="E331" s="6"/>
      <c r="F331" s="6"/>
    </row>
    <row r="332" spans="1:6" s="1" customFormat="1" x14ac:dyDescent="0.2">
      <c r="A332" s="5"/>
      <c r="B332" s="5"/>
      <c r="C332" s="5"/>
      <c r="D332" s="5"/>
      <c r="E332" s="6"/>
      <c r="F332" s="6"/>
    </row>
    <row r="333" spans="1:6" s="1" customFormat="1" x14ac:dyDescent="0.2">
      <c r="A333" s="5"/>
      <c r="B333" s="5"/>
      <c r="C333" s="5"/>
      <c r="D333" s="5"/>
      <c r="E333" s="6"/>
      <c r="F333" s="6"/>
    </row>
    <row r="334" spans="1:6" s="1" customFormat="1" x14ac:dyDescent="0.2">
      <c r="A334" s="5"/>
      <c r="B334" s="5"/>
      <c r="C334" s="5"/>
      <c r="D334" s="5"/>
      <c r="E334" s="6"/>
      <c r="F334" s="6"/>
    </row>
    <row r="335" spans="1:6" s="1" customFormat="1" x14ac:dyDescent="0.2">
      <c r="A335" s="5"/>
      <c r="B335" s="5"/>
      <c r="C335" s="5"/>
      <c r="D335" s="5"/>
      <c r="E335" s="6"/>
      <c r="F335" s="6"/>
    </row>
    <row r="336" spans="1:6" s="1" customFormat="1" x14ac:dyDescent="0.2">
      <c r="A336" s="5"/>
      <c r="B336" s="5"/>
      <c r="C336" s="5"/>
      <c r="D336" s="5"/>
      <c r="E336" s="6"/>
      <c r="F336" s="6"/>
    </row>
    <row r="337" spans="1:6" s="1" customFormat="1" x14ac:dyDescent="0.2">
      <c r="A337" s="5"/>
      <c r="B337" s="5"/>
      <c r="C337" s="5"/>
      <c r="D337" s="5"/>
      <c r="E337" s="6"/>
      <c r="F337" s="6"/>
    </row>
    <row r="338" spans="1:6" s="1" customFormat="1" x14ac:dyDescent="0.2">
      <c r="A338" s="5"/>
      <c r="B338" s="5"/>
      <c r="C338" s="5"/>
      <c r="D338" s="5"/>
      <c r="E338" s="6"/>
      <c r="F338" s="6"/>
    </row>
    <row r="339" spans="1:6" s="1" customFormat="1" x14ac:dyDescent="0.2">
      <c r="A339" s="5"/>
      <c r="B339" s="5"/>
      <c r="C339" s="5"/>
      <c r="D339" s="5"/>
      <c r="E339" s="6"/>
      <c r="F339" s="6"/>
    </row>
    <row r="340" spans="1:6" s="1" customFormat="1" x14ac:dyDescent="0.2">
      <c r="A340" s="5"/>
      <c r="B340" s="5"/>
      <c r="C340" s="5"/>
      <c r="D340" s="5"/>
      <c r="E340" s="6"/>
      <c r="F340" s="6"/>
    </row>
    <row r="341" spans="1:6" s="1" customFormat="1" x14ac:dyDescent="0.2">
      <c r="A341" s="5"/>
      <c r="B341" s="5"/>
      <c r="C341" s="5"/>
      <c r="D341" s="5"/>
      <c r="E341" s="6"/>
      <c r="F341" s="6"/>
    </row>
    <row r="342" spans="1:6" s="1" customFormat="1" x14ac:dyDescent="0.2">
      <c r="A342" s="5"/>
      <c r="B342" s="5"/>
      <c r="C342" s="5"/>
      <c r="D342" s="5"/>
      <c r="E342" s="6"/>
      <c r="F342" s="6"/>
    </row>
    <row r="343" spans="1:6" s="1" customFormat="1" x14ac:dyDescent="0.2">
      <c r="A343" s="5"/>
      <c r="B343" s="5"/>
      <c r="C343" s="5"/>
      <c r="D343" s="5"/>
      <c r="E343" s="6"/>
      <c r="F343" s="6"/>
    </row>
    <row r="344" spans="1:6" s="1" customFormat="1" x14ac:dyDescent="0.2">
      <c r="A344" s="5"/>
      <c r="B344" s="5"/>
      <c r="C344" s="5"/>
      <c r="D344" s="5"/>
      <c r="E344" s="6"/>
      <c r="F344" s="6"/>
    </row>
    <row r="345" spans="1:6" s="1" customFormat="1" x14ac:dyDescent="0.2">
      <c r="A345" s="5"/>
      <c r="B345" s="5"/>
      <c r="C345" s="5"/>
      <c r="D345" s="5"/>
      <c r="E345" s="6"/>
      <c r="F345" s="6"/>
    </row>
    <row r="346" spans="1:6" s="1" customFormat="1" x14ac:dyDescent="0.2">
      <c r="A346" s="5"/>
      <c r="B346" s="5"/>
      <c r="C346" s="5"/>
      <c r="D346" s="5"/>
      <c r="E346" s="6"/>
      <c r="F346" s="6"/>
    </row>
    <row r="347" spans="1:6" s="1" customFormat="1" x14ac:dyDescent="0.2">
      <c r="A347" s="5"/>
      <c r="B347" s="5"/>
      <c r="C347" s="5"/>
      <c r="D347" s="5"/>
      <c r="E347" s="6"/>
      <c r="F347" s="6"/>
    </row>
    <row r="348" spans="1:6" s="1" customFormat="1" x14ac:dyDescent="0.2">
      <c r="A348" s="5"/>
      <c r="B348" s="5"/>
      <c r="C348" s="5"/>
      <c r="D348" s="5"/>
      <c r="E348" s="6"/>
      <c r="F348" s="6"/>
    </row>
    <row r="349" spans="1:6" s="1" customFormat="1" x14ac:dyDescent="0.2">
      <c r="A349" s="5"/>
      <c r="B349" s="5"/>
      <c r="C349" s="5"/>
      <c r="D349" s="5"/>
      <c r="E349" s="6"/>
      <c r="F349" s="6"/>
    </row>
    <row r="350" spans="1:6" s="1" customFormat="1" x14ac:dyDescent="0.2">
      <c r="A350" s="5"/>
      <c r="B350" s="5"/>
      <c r="C350" s="5"/>
      <c r="D350" s="5"/>
      <c r="E350" s="6"/>
      <c r="F350" s="6"/>
    </row>
    <row r="351" spans="1:6" s="1" customFormat="1" x14ac:dyDescent="0.2">
      <c r="A351" s="5"/>
      <c r="B351" s="5"/>
      <c r="C351" s="5"/>
      <c r="D351" s="5"/>
      <c r="E351" s="6"/>
      <c r="F351" s="6"/>
    </row>
    <row r="352" spans="1:6" s="1" customFormat="1" ht="16.5" customHeight="1" x14ac:dyDescent="0.2">
      <c r="A352" s="5"/>
      <c r="B352" s="5"/>
      <c r="C352" s="5"/>
      <c r="D352" s="5"/>
      <c r="E352" s="6"/>
      <c r="F352" s="6"/>
    </row>
    <row r="353" spans="1:233" s="1" customFormat="1" x14ac:dyDescent="0.2">
      <c r="A353" s="5"/>
      <c r="B353" s="5"/>
      <c r="C353" s="5"/>
      <c r="D353" s="5"/>
      <c r="E353" s="6"/>
      <c r="F353" s="6"/>
    </row>
    <row r="354" spans="1:233" s="1" customFormat="1" x14ac:dyDescent="0.2">
      <c r="A354" s="5"/>
      <c r="B354" s="5"/>
      <c r="C354" s="5"/>
      <c r="D354" s="5"/>
      <c r="E354" s="6"/>
      <c r="F354" s="6"/>
    </row>
    <row r="355" spans="1:233" s="1" customFormat="1" x14ac:dyDescent="0.2">
      <c r="A355" s="5"/>
      <c r="B355" s="5"/>
      <c r="C355" s="5"/>
      <c r="D355" s="5"/>
      <c r="E355" s="6"/>
      <c r="F355" s="6"/>
    </row>
    <row r="356" spans="1:233" s="1" customFormat="1" x14ac:dyDescent="0.2">
      <c r="A356" s="5"/>
      <c r="B356" s="5"/>
      <c r="C356" s="5"/>
      <c r="D356" s="5"/>
      <c r="E356" s="6"/>
      <c r="F356" s="6"/>
    </row>
    <row r="357" spans="1:233" s="1" customFormat="1" x14ac:dyDescent="0.2">
      <c r="A357" s="5"/>
      <c r="B357" s="5"/>
      <c r="C357" s="5"/>
      <c r="D357" s="5"/>
      <c r="E357" s="6"/>
      <c r="F357" s="6"/>
    </row>
    <row r="358" spans="1:233" s="1" customFormat="1" x14ac:dyDescent="0.2">
      <c r="A358" s="5"/>
      <c r="B358" s="5"/>
      <c r="C358" s="5"/>
      <c r="D358" s="5"/>
      <c r="E358" s="6"/>
      <c r="F358" s="6"/>
    </row>
    <row r="359" spans="1:233" s="1" customFormat="1" x14ac:dyDescent="0.2">
      <c r="A359" s="5"/>
      <c r="B359" s="5"/>
      <c r="C359" s="5"/>
      <c r="D359" s="5"/>
      <c r="E359" s="6"/>
      <c r="F359" s="6"/>
    </row>
    <row r="360" spans="1:233" s="1" customFormat="1" x14ac:dyDescent="0.2">
      <c r="A360" s="5"/>
      <c r="B360" s="5"/>
      <c r="C360" s="5"/>
      <c r="D360" s="5"/>
      <c r="E360" s="6"/>
      <c r="F360" s="6"/>
    </row>
    <row r="361" spans="1:233" s="1" customFormat="1" x14ac:dyDescent="0.2">
      <c r="A361" s="5"/>
      <c r="B361" s="5"/>
      <c r="C361" s="5"/>
      <c r="D361" s="5"/>
      <c r="E361" s="6"/>
      <c r="F361" s="6"/>
    </row>
    <row r="362" spans="1:233" s="1" customFormat="1" ht="27" customHeight="1" x14ac:dyDescent="0.2">
      <c r="A362" s="5"/>
      <c r="B362" s="5"/>
      <c r="C362" s="5"/>
      <c r="D362" s="5"/>
      <c r="E362" s="6"/>
      <c r="F362" s="6"/>
    </row>
    <row r="363" spans="1:233" s="1" customFormat="1" x14ac:dyDescent="0.2">
      <c r="A363" s="5"/>
      <c r="B363" s="5"/>
      <c r="C363" s="5"/>
      <c r="D363" s="5"/>
      <c r="E363" s="6"/>
      <c r="F363" s="6"/>
    </row>
    <row r="364" spans="1:233" s="1" customFormat="1" x14ac:dyDescent="0.2">
      <c r="A364" s="5"/>
      <c r="B364" s="5"/>
      <c r="C364" s="5"/>
      <c r="D364" s="5"/>
      <c r="E364" s="6"/>
      <c r="F364" s="6"/>
    </row>
    <row r="365" spans="1:233" s="1" customFormat="1" x14ac:dyDescent="0.2">
      <c r="A365" s="5"/>
      <c r="B365" s="5"/>
      <c r="C365" s="5"/>
      <c r="D365" s="5"/>
      <c r="E365" s="6"/>
      <c r="F365" s="6"/>
    </row>
    <row r="366" spans="1:233" s="1543" customFormat="1" x14ac:dyDescent="0.2">
      <c r="A366" s="5"/>
      <c r="B366" s="5"/>
      <c r="C366" s="5"/>
      <c r="D366" s="5"/>
      <c r="E366" s="6"/>
      <c r="F366" s="6"/>
      <c r="G366" s="1542"/>
      <c r="H366" s="1542"/>
      <c r="I366" s="1542"/>
      <c r="J366" s="1542"/>
      <c r="K366" s="1542"/>
      <c r="L366" s="1542"/>
      <c r="M366" s="1542"/>
      <c r="N366" s="1542"/>
      <c r="O366" s="1542"/>
      <c r="P366" s="1542"/>
      <c r="Q366" s="1542"/>
      <c r="R366" s="1542"/>
      <c r="S366" s="1542"/>
      <c r="T366" s="1542"/>
      <c r="U366" s="1542"/>
      <c r="V366" s="1542"/>
      <c r="W366" s="1542"/>
      <c r="X366" s="1542"/>
      <c r="Y366" s="1542"/>
      <c r="Z366" s="1542"/>
      <c r="AA366" s="1542"/>
      <c r="AB366" s="1542"/>
      <c r="AC366" s="1542"/>
      <c r="AD366" s="1542"/>
      <c r="AE366" s="1542"/>
      <c r="AF366" s="1542"/>
      <c r="AG366" s="1542"/>
      <c r="AH366" s="1542"/>
      <c r="AI366" s="1542"/>
      <c r="AJ366" s="1542"/>
      <c r="AK366" s="1542"/>
      <c r="AL366" s="1542"/>
      <c r="AM366" s="1542"/>
      <c r="AN366" s="1542"/>
      <c r="AO366" s="1542"/>
      <c r="AP366" s="1542"/>
      <c r="AQ366" s="1542"/>
      <c r="AR366" s="1542"/>
      <c r="AS366" s="1542"/>
      <c r="AT366" s="1542"/>
      <c r="AU366" s="1542"/>
      <c r="AV366" s="1542"/>
      <c r="AW366" s="1542"/>
      <c r="AX366" s="1542"/>
      <c r="AY366" s="1542"/>
      <c r="AZ366" s="1542"/>
      <c r="BA366" s="1542"/>
      <c r="BB366" s="1542"/>
      <c r="BC366" s="1542"/>
      <c r="BD366" s="1542"/>
      <c r="BE366" s="1542"/>
      <c r="BF366" s="1542"/>
      <c r="BG366" s="1542"/>
      <c r="BH366" s="1542"/>
      <c r="BI366" s="1542"/>
      <c r="BJ366" s="1542"/>
      <c r="BK366" s="1542"/>
      <c r="BL366" s="1542"/>
      <c r="BM366" s="1542"/>
      <c r="BN366" s="1542"/>
      <c r="BO366" s="1542"/>
      <c r="BP366" s="1542"/>
      <c r="BQ366" s="1542"/>
      <c r="BR366" s="1542"/>
      <c r="BS366" s="1542"/>
      <c r="BT366" s="1542"/>
      <c r="BU366" s="1542"/>
      <c r="BV366" s="1542"/>
      <c r="BW366" s="1542"/>
      <c r="BX366" s="1542"/>
      <c r="BY366" s="1542"/>
      <c r="BZ366" s="1542"/>
      <c r="CA366" s="1542"/>
      <c r="CB366" s="1542"/>
      <c r="CC366" s="1542"/>
      <c r="CD366" s="1542"/>
      <c r="CE366" s="1542"/>
      <c r="CF366" s="1542"/>
      <c r="CG366" s="1542"/>
      <c r="CH366" s="1542"/>
      <c r="CI366" s="1542"/>
      <c r="CJ366" s="1542"/>
      <c r="CK366" s="1542"/>
      <c r="CL366" s="1542"/>
      <c r="CM366" s="1542"/>
      <c r="CN366" s="1542"/>
      <c r="CO366" s="1542"/>
      <c r="CP366" s="1542"/>
      <c r="CQ366" s="1542"/>
      <c r="CR366" s="1542"/>
      <c r="CS366" s="1542"/>
      <c r="CT366" s="1542"/>
      <c r="CU366" s="1542"/>
      <c r="CV366" s="1542"/>
      <c r="CW366" s="1542"/>
      <c r="CX366" s="1542"/>
      <c r="CY366" s="1542"/>
      <c r="CZ366" s="1542"/>
      <c r="DA366" s="1542"/>
      <c r="DB366" s="1542"/>
      <c r="DC366" s="1542"/>
      <c r="DD366" s="1542"/>
      <c r="DE366" s="1542"/>
      <c r="DF366" s="1542"/>
      <c r="DG366" s="1542"/>
      <c r="DH366" s="1542"/>
      <c r="DI366" s="1542"/>
      <c r="DJ366" s="1542"/>
      <c r="DK366" s="1542"/>
      <c r="DL366" s="1542"/>
      <c r="DM366" s="1542"/>
      <c r="DN366" s="1542"/>
      <c r="DO366" s="1542"/>
      <c r="DP366" s="1542"/>
      <c r="DQ366" s="1542"/>
      <c r="DR366" s="1542"/>
      <c r="DS366" s="1542"/>
      <c r="DT366" s="1542"/>
      <c r="DU366" s="1542"/>
      <c r="DV366" s="1542"/>
      <c r="DW366" s="1542"/>
      <c r="DX366" s="1542"/>
      <c r="DY366" s="1542"/>
      <c r="DZ366" s="1542"/>
      <c r="EA366" s="1542"/>
      <c r="EB366" s="1542"/>
      <c r="EC366" s="1542"/>
      <c r="ED366" s="1542"/>
      <c r="EE366" s="1542"/>
      <c r="EF366" s="1542"/>
      <c r="EG366" s="1542"/>
      <c r="EH366" s="1542"/>
      <c r="EI366" s="1542"/>
      <c r="EJ366" s="1542"/>
      <c r="EK366" s="1542"/>
      <c r="EL366" s="1542"/>
      <c r="EM366" s="1542"/>
      <c r="EN366" s="1542"/>
      <c r="EO366" s="1542"/>
      <c r="EP366" s="1542"/>
      <c r="EQ366" s="1542"/>
      <c r="ER366" s="1542"/>
      <c r="ES366" s="1542"/>
      <c r="ET366" s="1542"/>
      <c r="EU366" s="1542"/>
      <c r="EV366" s="1542"/>
      <c r="EW366" s="1542"/>
      <c r="EX366" s="1542"/>
      <c r="EY366" s="1542"/>
      <c r="EZ366" s="1542"/>
      <c r="FA366" s="1542"/>
      <c r="FB366" s="1542"/>
      <c r="FC366" s="1542"/>
      <c r="FD366" s="1542"/>
      <c r="FE366" s="1542"/>
      <c r="FF366" s="1542"/>
      <c r="FG366" s="1542"/>
      <c r="FH366" s="1542"/>
      <c r="FI366" s="1542"/>
      <c r="FJ366" s="1542"/>
      <c r="FK366" s="1542"/>
      <c r="FL366" s="1542"/>
      <c r="FM366" s="1542"/>
      <c r="FN366" s="1542"/>
      <c r="FO366" s="1542"/>
      <c r="FP366" s="1542"/>
      <c r="FQ366" s="1542"/>
      <c r="FR366" s="1542"/>
      <c r="FS366" s="1542"/>
      <c r="FT366" s="1542"/>
      <c r="FU366" s="1542"/>
      <c r="FV366" s="1542"/>
      <c r="FW366" s="1542"/>
      <c r="FX366" s="1542"/>
      <c r="FY366" s="1542"/>
      <c r="FZ366" s="1542"/>
      <c r="GA366" s="1542"/>
      <c r="GB366" s="1542"/>
      <c r="GC366" s="1542"/>
      <c r="GD366" s="1542"/>
      <c r="GE366" s="1542"/>
      <c r="GF366" s="1542"/>
      <c r="GG366" s="1542"/>
      <c r="GH366" s="1542"/>
      <c r="GI366" s="1542"/>
      <c r="GJ366" s="1542"/>
      <c r="GK366" s="1542"/>
      <c r="GL366" s="1542"/>
      <c r="GM366" s="1542"/>
      <c r="GN366" s="1542"/>
      <c r="GO366" s="1542"/>
      <c r="GP366" s="1542"/>
      <c r="GQ366" s="1542"/>
      <c r="GR366" s="1542"/>
      <c r="GS366" s="1542"/>
      <c r="GT366" s="1542"/>
      <c r="GU366" s="1542"/>
      <c r="GV366" s="1542"/>
      <c r="GW366" s="1542"/>
      <c r="GX366" s="1542"/>
      <c r="GY366" s="1542"/>
      <c r="GZ366" s="1542"/>
      <c r="HA366" s="1542"/>
      <c r="HB366" s="1542"/>
      <c r="HC366" s="1542"/>
      <c r="HD366" s="1542"/>
      <c r="HE366" s="1542"/>
      <c r="HF366" s="1542"/>
      <c r="HG366" s="1542"/>
      <c r="HH366" s="1542"/>
      <c r="HI366" s="1542"/>
      <c r="HJ366" s="1542"/>
      <c r="HK366" s="1542"/>
      <c r="HL366" s="1542"/>
      <c r="HM366" s="1542"/>
      <c r="HN366" s="1542"/>
      <c r="HO366" s="1542"/>
      <c r="HP366" s="1542"/>
      <c r="HQ366" s="1542"/>
      <c r="HR366" s="1542"/>
      <c r="HS366" s="1542"/>
      <c r="HT366" s="1542"/>
      <c r="HU366" s="1542"/>
      <c r="HV366" s="1542"/>
      <c r="HW366" s="1542"/>
      <c r="HX366" s="1542"/>
      <c r="HY366" s="1542"/>
    </row>
    <row r="367" spans="1:233" s="1543" customFormat="1" x14ac:dyDescent="0.2">
      <c r="A367" s="5"/>
      <c r="B367" s="5"/>
      <c r="C367" s="5"/>
      <c r="D367" s="5"/>
      <c r="E367" s="6"/>
      <c r="F367" s="6"/>
      <c r="G367" s="1542"/>
      <c r="H367" s="1542"/>
      <c r="I367" s="1542"/>
      <c r="J367" s="1542"/>
      <c r="K367" s="1542"/>
      <c r="L367" s="1542"/>
      <c r="M367" s="1542"/>
      <c r="N367" s="1542"/>
      <c r="O367" s="1542"/>
      <c r="P367" s="1542"/>
      <c r="Q367" s="1542"/>
      <c r="R367" s="1542"/>
      <c r="S367" s="1542"/>
      <c r="T367" s="1542"/>
      <c r="U367" s="1542"/>
      <c r="V367" s="1542"/>
      <c r="W367" s="1542"/>
      <c r="X367" s="1542"/>
      <c r="Y367" s="1542"/>
      <c r="Z367" s="1542"/>
      <c r="AA367" s="1542"/>
      <c r="AB367" s="1542"/>
      <c r="AC367" s="1542"/>
      <c r="AD367" s="1542"/>
      <c r="AE367" s="1542"/>
      <c r="AF367" s="1542"/>
      <c r="AG367" s="1542"/>
      <c r="AH367" s="1542"/>
      <c r="AI367" s="1542"/>
      <c r="AJ367" s="1542"/>
      <c r="AK367" s="1542"/>
      <c r="AL367" s="1542"/>
      <c r="AM367" s="1542"/>
      <c r="AN367" s="1542"/>
      <c r="AO367" s="1542"/>
      <c r="AP367" s="1542"/>
      <c r="AQ367" s="1542"/>
      <c r="AR367" s="1542"/>
      <c r="AS367" s="1542"/>
      <c r="AT367" s="1542"/>
      <c r="AU367" s="1542"/>
      <c r="AV367" s="1542"/>
      <c r="AW367" s="1542"/>
      <c r="AX367" s="1542"/>
      <c r="AY367" s="1542"/>
      <c r="AZ367" s="1542"/>
      <c r="BA367" s="1542"/>
      <c r="BB367" s="1542"/>
      <c r="BC367" s="1542"/>
      <c r="BD367" s="1542"/>
      <c r="BE367" s="1542"/>
      <c r="BF367" s="1542"/>
      <c r="BG367" s="1542"/>
      <c r="BH367" s="1542"/>
      <c r="BI367" s="1542"/>
      <c r="BJ367" s="1542"/>
      <c r="BK367" s="1542"/>
      <c r="BL367" s="1542"/>
      <c r="BM367" s="1542"/>
      <c r="BN367" s="1542"/>
      <c r="BO367" s="1542"/>
      <c r="BP367" s="1542"/>
      <c r="BQ367" s="1542"/>
      <c r="BR367" s="1542"/>
      <c r="BS367" s="1542"/>
      <c r="BT367" s="1542"/>
      <c r="BU367" s="1542"/>
      <c r="BV367" s="1542"/>
      <c r="BW367" s="1542"/>
      <c r="BX367" s="1542"/>
      <c r="BY367" s="1542"/>
      <c r="BZ367" s="1542"/>
      <c r="CA367" s="1542"/>
      <c r="CB367" s="1542"/>
      <c r="CC367" s="1542"/>
      <c r="CD367" s="1542"/>
      <c r="CE367" s="1542"/>
      <c r="CF367" s="1542"/>
      <c r="CG367" s="1542"/>
      <c r="CH367" s="1542"/>
      <c r="CI367" s="1542"/>
      <c r="CJ367" s="1542"/>
      <c r="CK367" s="1542"/>
      <c r="CL367" s="1542"/>
      <c r="CM367" s="1542"/>
      <c r="CN367" s="1542"/>
      <c r="CO367" s="1542"/>
      <c r="CP367" s="1542"/>
      <c r="CQ367" s="1542"/>
      <c r="CR367" s="1542"/>
      <c r="CS367" s="1542"/>
      <c r="CT367" s="1542"/>
      <c r="CU367" s="1542"/>
      <c r="CV367" s="1542"/>
      <c r="CW367" s="1542"/>
      <c r="CX367" s="1542"/>
      <c r="CY367" s="1542"/>
      <c r="CZ367" s="1542"/>
      <c r="DA367" s="1542"/>
      <c r="DB367" s="1542"/>
      <c r="DC367" s="1542"/>
      <c r="DD367" s="1542"/>
      <c r="DE367" s="1542"/>
      <c r="DF367" s="1542"/>
      <c r="DG367" s="1542"/>
      <c r="DH367" s="1542"/>
      <c r="DI367" s="1542"/>
      <c r="DJ367" s="1542"/>
      <c r="DK367" s="1542"/>
      <c r="DL367" s="1542"/>
      <c r="DM367" s="1542"/>
      <c r="DN367" s="1542"/>
      <c r="DO367" s="1542"/>
      <c r="DP367" s="1542"/>
      <c r="DQ367" s="1542"/>
      <c r="DR367" s="1542"/>
      <c r="DS367" s="1542"/>
      <c r="DT367" s="1542"/>
      <c r="DU367" s="1542"/>
      <c r="DV367" s="1542"/>
      <c r="DW367" s="1542"/>
      <c r="DX367" s="1542"/>
      <c r="DY367" s="1542"/>
      <c r="DZ367" s="1542"/>
      <c r="EA367" s="1542"/>
      <c r="EB367" s="1542"/>
      <c r="EC367" s="1542"/>
      <c r="ED367" s="1542"/>
      <c r="EE367" s="1542"/>
      <c r="EF367" s="1542"/>
      <c r="EG367" s="1542"/>
      <c r="EH367" s="1542"/>
      <c r="EI367" s="1542"/>
      <c r="EJ367" s="1542"/>
      <c r="EK367" s="1542"/>
      <c r="EL367" s="1542"/>
      <c r="EM367" s="1542"/>
      <c r="EN367" s="1542"/>
      <c r="EO367" s="1542"/>
      <c r="EP367" s="1542"/>
      <c r="EQ367" s="1542"/>
      <c r="ER367" s="1542"/>
      <c r="ES367" s="1542"/>
      <c r="ET367" s="1542"/>
      <c r="EU367" s="1542"/>
      <c r="EV367" s="1542"/>
      <c r="EW367" s="1542"/>
      <c r="EX367" s="1542"/>
      <c r="EY367" s="1542"/>
      <c r="EZ367" s="1542"/>
      <c r="FA367" s="1542"/>
      <c r="FB367" s="1542"/>
      <c r="FC367" s="1542"/>
      <c r="FD367" s="1542"/>
      <c r="FE367" s="1542"/>
      <c r="FF367" s="1542"/>
      <c r="FG367" s="1542"/>
      <c r="FH367" s="1542"/>
      <c r="FI367" s="1542"/>
      <c r="FJ367" s="1542"/>
      <c r="FK367" s="1542"/>
      <c r="FL367" s="1542"/>
      <c r="FM367" s="1542"/>
      <c r="FN367" s="1542"/>
      <c r="FO367" s="1542"/>
      <c r="FP367" s="1542"/>
      <c r="FQ367" s="1542"/>
      <c r="FR367" s="1542"/>
      <c r="FS367" s="1542"/>
      <c r="FT367" s="1542"/>
      <c r="FU367" s="1542"/>
      <c r="FV367" s="1542"/>
      <c r="FW367" s="1542"/>
      <c r="FX367" s="1542"/>
      <c r="FY367" s="1542"/>
      <c r="FZ367" s="1542"/>
      <c r="GA367" s="1542"/>
      <c r="GB367" s="1542"/>
      <c r="GC367" s="1542"/>
      <c r="GD367" s="1542"/>
      <c r="GE367" s="1542"/>
      <c r="GF367" s="1542"/>
      <c r="GG367" s="1542"/>
      <c r="GH367" s="1542"/>
      <c r="GI367" s="1542"/>
      <c r="GJ367" s="1542"/>
      <c r="GK367" s="1542"/>
      <c r="GL367" s="1542"/>
      <c r="GM367" s="1542"/>
      <c r="GN367" s="1542"/>
      <c r="GO367" s="1542"/>
      <c r="GP367" s="1542"/>
      <c r="GQ367" s="1542"/>
      <c r="GR367" s="1542"/>
      <c r="GS367" s="1542"/>
      <c r="GT367" s="1542"/>
      <c r="GU367" s="1542"/>
      <c r="GV367" s="1542"/>
      <c r="GW367" s="1542"/>
      <c r="GX367" s="1542"/>
      <c r="GY367" s="1542"/>
      <c r="GZ367" s="1542"/>
      <c r="HA367" s="1542"/>
      <c r="HB367" s="1542"/>
      <c r="HC367" s="1542"/>
      <c r="HD367" s="1542"/>
      <c r="HE367" s="1542"/>
      <c r="HF367" s="1542"/>
      <c r="HG367" s="1542"/>
      <c r="HH367" s="1542"/>
      <c r="HI367" s="1542"/>
      <c r="HJ367" s="1542"/>
      <c r="HK367" s="1542"/>
      <c r="HL367" s="1542"/>
      <c r="HM367" s="1542"/>
      <c r="HN367" s="1542"/>
      <c r="HO367" s="1542"/>
      <c r="HP367" s="1542"/>
      <c r="HQ367" s="1542"/>
      <c r="HR367" s="1542"/>
      <c r="HS367" s="1542"/>
      <c r="HT367" s="1542"/>
      <c r="HU367" s="1542"/>
      <c r="HV367" s="1542"/>
      <c r="HW367" s="1542"/>
      <c r="HX367" s="1542"/>
      <c r="HY367" s="1542"/>
    </row>
    <row r="368" spans="1:233" s="1543" customFormat="1" ht="26.25" customHeight="1" x14ac:dyDescent="0.2">
      <c r="A368" s="5"/>
      <c r="B368" s="5"/>
      <c r="C368" s="5"/>
      <c r="D368" s="5"/>
      <c r="E368" s="6"/>
      <c r="F368" s="6"/>
      <c r="G368" s="1542"/>
      <c r="H368" s="1542"/>
      <c r="I368" s="1542"/>
      <c r="J368" s="1542"/>
      <c r="K368" s="1542"/>
      <c r="L368" s="1542"/>
      <c r="M368" s="1542"/>
      <c r="N368" s="1542"/>
      <c r="O368" s="1542"/>
      <c r="P368" s="1542"/>
      <c r="Q368" s="1542"/>
      <c r="R368" s="1542"/>
      <c r="S368" s="1542"/>
      <c r="T368" s="1542"/>
      <c r="U368" s="1542"/>
      <c r="V368" s="1542"/>
      <c r="W368" s="1542"/>
      <c r="X368" s="1542"/>
      <c r="Y368" s="1542"/>
      <c r="Z368" s="1542"/>
      <c r="AA368" s="1542"/>
      <c r="AB368" s="1542"/>
      <c r="AC368" s="1542"/>
      <c r="AD368" s="1542"/>
      <c r="AE368" s="1542"/>
      <c r="AF368" s="1542"/>
      <c r="AG368" s="1542"/>
      <c r="AH368" s="1542"/>
      <c r="AI368" s="1542"/>
      <c r="AJ368" s="1542"/>
      <c r="AK368" s="1542"/>
      <c r="AL368" s="1542"/>
      <c r="AM368" s="1542"/>
      <c r="AN368" s="1542"/>
      <c r="AO368" s="1542"/>
      <c r="AP368" s="1542"/>
      <c r="AQ368" s="1542"/>
      <c r="AR368" s="1542"/>
      <c r="AS368" s="1542"/>
      <c r="AT368" s="1542"/>
      <c r="AU368" s="1542"/>
      <c r="AV368" s="1542"/>
      <c r="AW368" s="1542"/>
      <c r="AX368" s="1542"/>
      <c r="AY368" s="1542"/>
      <c r="AZ368" s="1542"/>
      <c r="BA368" s="1542"/>
      <c r="BB368" s="1542"/>
      <c r="BC368" s="1542"/>
      <c r="BD368" s="1542"/>
      <c r="BE368" s="1542"/>
      <c r="BF368" s="1542"/>
      <c r="BG368" s="1542"/>
      <c r="BH368" s="1542"/>
      <c r="BI368" s="1542"/>
      <c r="BJ368" s="1542"/>
      <c r="BK368" s="1542"/>
      <c r="BL368" s="1542"/>
      <c r="BM368" s="1542"/>
      <c r="BN368" s="1542"/>
      <c r="BO368" s="1542"/>
      <c r="BP368" s="1542"/>
      <c r="BQ368" s="1542"/>
      <c r="BR368" s="1542"/>
      <c r="BS368" s="1542"/>
      <c r="BT368" s="1542"/>
      <c r="BU368" s="1542"/>
      <c r="BV368" s="1542"/>
      <c r="BW368" s="1542"/>
      <c r="BX368" s="1542"/>
      <c r="BY368" s="1542"/>
      <c r="BZ368" s="1542"/>
      <c r="CA368" s="1542"/>
      <c r="CB368" s="1542"/>
      <c r="CC368" s="1542"/>
      <c r="CD368" s="1542"/>
      <c r="CE368" s="1542"/>
      <c r="CF368" s="1542"/>
      <c r="CG368" s="1542"/>
      <c r="CH368" s="1542"/>
      <c r="CI368" s="1542"/>
      <c r="CJ368" s="1542"/>
      <c r="CK368" s="1542"/>
      <c r="CL368" s="1542"/>
      <c r="CM368" s="1542"/>
      <c r="CN368" s="1542"/>
      <c r="CO368" s="1542"/>
      <c r="CP368" s="1542"/>
      <c r="CQ368" s="1542"/>
      <c r="CR368" s="1542"/>
      <c r="CS368" s="1542"/>
      <c r="CT368" s="1542"/>
      <c r="CU368" s="1542"/>
      <c r="CV368" s="1542"/>
      <c r="CW368" s="1542"/>
      <c r="CX368" s="1542"/>
      <c r="CY368" s="1542"/>
      <c r="CZ368" s="1542"/>
      <c r="DA368" s="1542"/>
      <c r="DB368" s="1542"/>
      <c r="DC368" s="1542"/>
      <c r="DD368" s="1542"/>
      <c r="DE368" s="1542"/>
      <c r="DF368" s="1542"/>
      <c r="DG368" s="1542"/>
      <c r="DH368" s="1542"/>
      <c r="DI368" s="1542"/>
      <c r="DJ368" s="1542"/>
      <c r="DK368" s="1542"/>
      <c r="DL368" s="1542"/>
      <c r="DM368" s="1542"/>
      <c r="DN368" s="1542"/>
      <c r="DO368" s="1542"/>
      <c r="DP368" s="1542"/>
      <c r="DQ368" s="1542"/>
      <c r="DR368" s="1542"/>
      <c r="DS368" s="1542"/>
      <c r="DT368" s="1542"/>
      <c r="DU368" s="1542"/>
      <c r="DV368" s="1542"/>
      <c r="DW368" s="1542"/>
      <c r="DX368" s="1542"/>
      <c r="DY368" s="1542"/>
      <c r="DZ368" s="1542"/>
      <c r="EA368" s="1542"/>
      <c r="EB368" s="1542"/>
      <c r="EC368" s="1542"/>
      <c r="ED368" s="1542"/>
      <c r="EE368" s="1542"/>
      <c r="EF368" s="1542"/>
      <c r="EG368" s="1542"/>
      <c r="EH368" s="1542"/>
      <c r="EI368" s="1542"/>
      <c r="EJ368" s="1542"/>
      <c r="EK368" s="1542"/>
      <c r="EL368" s="1542"/>
      <c r="EM368" s="1542"/>
      <c r="EN368" s="1542"/>
      <c r="EO368" s="1542"/>
      <c r="EP368" s="1542"/>
      <c r="EQ368" s="1542"/>
      <c r="ER368" s="1542"/>
      <c r="ES368" s="1542"/>
      <c r="ET368" s="1542"/>
      <c r="EU368" s="1542"/>
      <c r="EV368" s="1542"/>
      <c r="EW368" s="1542"/>
      <c r="EX368" s="1542"/>
      <c r="EY368" s="1542"/>
      <c r="EZ368" s="1542"/>
      <c r="FA368" s="1542"/>
      <c r="FB368" s="1542"/>
      <c r="FC368" s="1542"/>
      <c r="FD368" s="1542"/>
      <c r="FE368" s="1542"/>
      <c r="FF368" s="1542"/>
      <c r="FG368" s="1542"/>
      <c r="FH368" s="1542"/>
      <c r="FI368" s="1542"/>
      <c r="FJ368" s="1542"/>
      <c r="FK368" s="1542"/>
      <c r="FL368" s="1542"/>
      <c r="FM368" s="1542"/>
      <c r="FN368" s="1542"/>
      <c r="FO368" s="1542"/>
      <c r="FP368" s="1542"/>
      <c r="FQ368" s="1542"/>
      <c r="FR368" s="1542"/>
      <c r="FS368" s="1542"/>
      <c r="FT368" s="1542"/>
      <c r="FU368" s="1542"/>
      <c r="FV368" s="1542"/>
      <c r="FW368" s="1542"/>
      <c r="FX368" s="1542"/>
      <c r="FY368" s="1542"/>
      <c r="FZ368" s="1542"/>
      <c r="GA368" s="1542"/>
      <c r="GB368" s="1542"/>
      <c r="GC368" s="1542"/>
      <c r="GD368" s="1542"/>
      <c r="GE368" s="1542"/>
      <c r="GF368" s="1542"/>
      <c r="GG368" s="1542"/>
      <c r="GH368" s="1542"/>
      <c r="GI368" s="1542"/>
      <c r="GJ368" s="1542"/>
      <c r="GK368" s="1542"/>
      <c r="GL368" s="1542"/>
      <c r="GM368" s="1542"/>
      <c r="GN368" s="1542"/>
      <c r="GO368" s="1542"/>
      <c r="GP368" s="1542"/>
      <c r="GQ368" s="1542"/>
      <c r="GR368" s="1542"/>
      <c r="GS368" s="1542"/>
      <c r="GT368" s="1542"/>
      <c r="GU368" s="1542"/>
      <c r="GV368" s="1542"/>
      <c r="GW368" s="1542"/>
      <c r="GX368" s="1542"/>
      <c r="GY368" s="1542"/>
      <c r="GZ368" s="1542"/>
      <c r="HA368" s="1542"/>
      <c r="HB368" s="1542"/>
      <c r="HC368" s="1542"/>
      <c r="HD368" s="1542"/>
      <c r="HE368" s="1542"/>
      <c r="HF368" s="1542"/>
      <c r="HG368" s="1542"/>
      <c r="HH368" s="1542"/>
      <c r="HI368" s="1542"/>
      <c r="HJ368" s="1542"/>
      <c r="HK368" s="1542"/>
      <c r="HL368" s="1542"/>
      <c r="HM368" s="1542"/>
      <c r="HN368" s="1542"/>
      <c r="HO368" s="1542"/>
      <c r="HP368" s="1542"/>
      <c r="HQ368" s="1542"/>
      <c r="HR368" s="1542"/>
      <c r="HS368" s="1542"/>
      <c r="HT368" s="1542"/>
      <c r="HU368" s="1542"/>
      <c r="HV368" s="1542"/>
      <c r="HW368" s="1542"/>
      <c r="HX368" s="1542"/>
      <c r="HY368" s="1542"/>
    </row>
    <row r="369" spans="1:233" s="1543" customFormat="1" ht="24.75" customHeight="1" x14ac:dyDescent="0.2">
      <c r="A369" s="5"/>
      <c r="B369" s="5"/>
      <c r="C369" s="5"/>
      <c r="D369" s="5"/>
      <c r="E369" s="6"/>
      <c r="F369" s="6"/>
      <c r="G369" s="1542"/>
      <c r="H369" s="1542"/>
      <c r="I369" s="1542"/>
      <c r="J369" s="1542"/>
      <c r="K369" s="1542"/>
      <c r="L369" s="1542"/>
      <c r="M369" s="1542"/>
      <c r="N369" s="1542"/>
      <c r="O369" s="1542"/>
      <c r="P369" s="1542"/>
      <c r="Q369" s="1542"/>
      <c r="R369" s="1542"/>
      <c r="S369" s="1542"/>
      <c r="T369" s="1542"/>
      <c r="U369" s="1542"/>
      <c r="V369" s="1542"/>
      <c r="W369" s="1542"/>
      <c r="X369" s="1542"/>
      <c r="Y369" s="1542"/>
      <c r="Z369" s="1542"/>
      <c r="AA369" s="1542"/>
      <c r="AB369" s="1542"/>
      <c r="AC369" s="1542"/>
      <c r="AD369" s="1542"/>
      <c r="AE369" s="1542"/>
      <c r="AF369" s="1542"/>
      <c r="AG369" s="1542"/>
      <c r="AH369" s="1542"/>
      <c r="AI369" s="1542"/>
      <c r="AJ369" s="1542"/>
      <c r="AK369" s="1542"/>
      <c r="AL369" s="1542"/>
      <c r="AM369" s="1542"/>
      <c r="AN369" s="1542"/>
      <c r="AO369" s="1542"/>
      <c r="AP369" s="1542"/>
      <c r="AQ369" s="1542"/>
      <c r="AR369" s="1542"/>
      <c r="AS369" s="1542"/>
      <c r="AT369" s="1542"/>
      <c r="AU369" s="1542"/>
      <c r="AV369" s="1542"/>
      <c r="AW369" s="1542"/>
      <c r="AX369" s="1542"/>
      <c r="AY369" s="1542"/>
      <c r="AZ369" s="1542"/>
      <c r="BA369" s="1542"/>
      <c r="BB369" s="1542"/>
      <c r="BC369" s="1542"/>
      <c r="BD369" s="1542"/>
      <c r="BE369" s="1542"/>
      <c r="BF369" s="1542"/>
      <c r="BG369" s="1542"/>
      <c r="BH369" s="1542"/>
      <c r="BI369" s="1542"/>
      <c r="BJ369" s="1542"/>
      <c r="BK369" s="1542"/>
      <c r="BL369" s="1542"/>
      <c r="BM369" s="1542"/>
      <c r="BN369" s="1542"/>
      <c r="BO369" s="1542"/>
      <c r="BP369" s="1542"/>
      <c r="BQ369" s="1542"/>
      <c r="BR369" s="1542"/>
      <c r="BS369" s="1542"/>
      <c r="BT369" s="1542"/>
      <c r="BU369" s="1542"/>
      <c r="BV369" s="1542"/>
      <c r="BW369" s="1542"/>
      <c r="BX369" s="1542"/>
      <c r="BY369" s="1542"/>
      <c r="BZ369" s="1542"/>
      <c r="CA369" s="1542"/>
      <c r="CB369" s="1542"/>
      <c r="CC369" s="1542"/>
      <c r="CD369" s="1542"/>
      <c r="CE369" s="1542"/>
      <c r="CF369" s="1542"/>
      <c r="CG369" s="1542"/>
      <c r="CH369" s="1542"/>
      <c r="CI369" s="1542"/>
      <c r="CJ369" s="1542"/>
      <c r="CK369" s="1542"/>
      <c r="CL369" s="1542"/>
      <c r="CM369" s="1542"/>
      <c r="CN369" s="1542"/>
      <c r="CO369" s="1542"/>
      <c r="CP369" s="1542"/>
      <c r="CQ369" s="1542"/>
      <c r="CR369" s="1542"/>
      <c r="CS369" s="1542"/>
      <c r="CT369" s="1542"/>
      <c r="CU369" s="1542"/>
      <c r="CV369" s="1542"/>
      <c r="CW369" s="1542"/>
      <c r="CX369" s="1542"/>
      <c r="CY369" s="1542"/>
      <c r="CZ369" s="1542"/>
      <c r="DA369" s="1542"/>
      <c r="DB369" s="1542"/>
      <c r="DC369" s="1542"/>
      <c r="DD369" s="1542"/>
      <c r="DE369" s="1542"/>
      <c r="DF369" s="1542"/>
      <c r="DG369" s="1542"/>
      <c r="DH369" s="1542"/>
      <c r="DI369" s="1542"/>
      <c r="DJ369" s="1542"/>
      <c r="DK369" s="1542"/>
      <c r="DL369" s="1542"/>
      <c r="DM369" s="1542"/>
      <c r="DN369" s="1542"/>
      <c r="DO369" s="1542"/>
      <c r="DP369" s="1542"/>
      <c r="DQ369" s="1542"/>
      <c r="DR369" s="1542"/>
      <c r="DS369" s="1542"/>
      <c r="DT369" s="1542"/>
      <c r="DU369" s="1542"/>
      <c r="DV369" s="1542"/>
      <c r="DW369" s="1542"/>
      <c r="DX369" s="1542"/>
      <c r="DY369" s="1542"/>
      <c r="DZ369" s="1542"/>
      <c r="EA369" s="1542"/>
      <c r="EB369" s="1542"/>
      <c r="EC369" s="1542"/>
      <c r="ED369" s="1542"/>
      <c r="EE369" s="1542"/>
      <c r="EF369" s="1542"/>
      <c r="EG369" s="1542"/>
      <c r="EH369" s="1542"/>
      <c r="EI369" s="1542"/>
      <c r="EJ369" s="1542"/>
      <c r="EK369" s="1542"/>
      <c r="EL369" s="1542"/>
      <c r="EM369" s="1542"/>
      <c r="EN369" s="1542"/>
      <c r="EO369" s="1542"/>
      <c r="EP369" s="1542"/>
      <c r="EQ369" s="1542"/>
      <c r="ER369" s="1542"/>
      <c r="ES369" s="1542"/>
      <c r="ET369" s="1542"/>
      <c r="EU369" s="1542"/>
      <c r="EV369" s="1542"/>
      <c r="EW369" s="1542"/>
      <c r="EX369" s="1542"/>
      <c r="EY369" s="1542"/>
      <c r="EZ369" s="1542"/>
      <c r="FA369" s="1542"/>
      <c r="FB369" s="1542"/>
      <c r="FC369" s="1542"/>
      <c r="FD369" s="1542"/>
      <c r="FE369" s="1542"/>
      <c r="FF369" s="1542"/>
      <c r="FG369" s="1542"/>
      <c r="FH369" s="1542"/>
      <c r="FI369" s="1542"/>
      <c r="FJ369" s="1542"/>
      <c r="FK369" s="1542"/>
      <c r="FL369" s="1542"/>
      <c r="FM369" s="1542"/>
      <c r="FN369" s="1542"/>
      <c r="FO369" s="1542"/>
      <c r="FP369" s="1542"/>
      <c r="FQ369" s="1542"/>
      <c r="FR369" s="1542"/>
      <c r="FS369" s="1542"/>
      <c r="FT369" s="1542"/>
      <c r="FU369" s="1542"/>
      <c r="FV369" s="1542"/>
      <c r="FW369" s="1542"/>
      <c r="FX369" s="1542"/>
      <c r="FY369" s="1542"/>
      <c r="FZ369" s="1542"/>
      <c r="GA369" s="1542"/>
      <c r="GB369" s="1542"/>
      <c r="GC369" s="1542"/>
      <c r="GD369" s="1542"/>
      <c r="GE369" s="1542"/>
      <c r="GF369" s="1542"/>
      <c r="GG369" s="1542"/>
      <c r="GH369" s="1542"/>
      <c r="GI369" s="1542"/>
      <c r="GJ369" s="1542"/>
      <c r="GK369" s="1542"/>
      <c r="GL369" s="1542"/>
      <c r="GM369" s="1542"/>
      <c r="GN369" s="1542"/>
      <c r="GO369" s="1542"/>
      <c r="GP369" s="1542"/>
      <c r="GQ369" s="1542"/>
      <c r="GR369" s="1542"/>
      <c r="GS369" s="1542"/>
      <c r="GT369" s="1542"/>
      <c r="GU369" s="1542"/>
      <c r="GV369" s="1542"/>
      <c r="GW369" s="1542"/>
      <c r="GX369" s="1542"/>
      <c r="GY369" s="1542"/>
      <c r="GZ369" s="1542"/>
      <c r="HA369" s="1542"/>
      <c r="HB369" s="1542"/>
      <c r="HC369" s="1542"/>
      <c r="HD369" s="1542"/>
      <c r="HE369" s="1542"/>
      <c r="HF369" s="1542"/>
      <c r="HG369" s="1542"/>
      <c r="HH369" s="1542"/>
      <c r="HI369" s="1542"/>
      <c r="HJ369" s="1542"/>
      <c r="HK369" s="1542"/>
      <c r="HL369" s="1542"/>
      <c r="HM369" s="1542"/>
      <c r="HN369" s="1542"/>
      <c r="HO369" s="1542"/>
      <c r="HP369" s="1542"/>
      <c r="HQ369" s="1542"/>
      <c r="HR369" s="1542"/>
      <c r="HS369" s="1542"/>
      <c r="HT369" s="1542"/>
      <c r="HU369" s="1542"/>
      <c r="HV369" s="1542"/>
      <c r="HW369" s="1542"/>
      <c r="HX369" s="1542"/>
      <c r="HY369" s="1542"/>
    </row>
    <row r="370" spans="1:233" s="1543" customFormat="1" ht="12.95" customHeight="1" x14ac:dyDescent="0.2">
      <c r="A370" s="5"/>
      <c r="B370" s="5"/>
      <c r="C370" s="5"/>
      <c r="D370" s="5"/>
      <c r="E370" s="6"/>
      <c r="F370" s="6"/>
      <c r="G370" s="1542"/>
      <c r="H370" s="1542"/>
      <c r="I370" s="1542"/>
      <c r="J370" s="1542"/>
      <c r="K370" s="1542"/>
      <c r="L370" s="1542"/>
      <c r="M370" s="1542"/>
      <c r="N370" s="1542"/>
      <c r="O370" s="1542"/>
      <c r="P370" s="1542"/>
      <c r="Q370" s="1542"/>
      <c r="R370" s="1542"/>
      <c r="S370" s="1542"/>
      <c r="T370" s="1542"/>
      <c r="U370" s="1542"/>
      <c r="V370" s="1542"/>
      <c r="W370" s="1542"/>
      <c r="X370" s="1542"/>
      <c r="Y370" s="1542"/>
      <c r="Z370" s="1542"/>
      <c r="AA370" s="1542"/>
      <c r="AB370" s="1542"/>
      <c r="AC370" s="1542"/>
      <c r="AD370" s="1542"/>
      <c r="AE370" s="1542"/>
      <c r="AF370" s="1542"/>
      <c r="AG370" s="1542"/>
      <c r="AH370" s="1542"/>
      <c r="AI370" s="1542"/>
      <c r="AJ370" s="1542"/>
      <c r="AK370" s="1542"/>
      <c r="AL370" s="1542"/>
      <c r="AM370" s="1542"/>
      <c r="AN370" s="1542"/>
      <c r="AO370" s="1542"/>
      <c r="AP370" s="1542"/>
      <c r="AQ370" s="1542"/>
      <c r="AR370" s="1542"/>
      <c r="AS370" s="1542"/>
      <c r="AT370" s="1542"/>
      <c r="AU370" s="1542"/>
      <c r="AV370" s="1542"/>
      <c r="AW370" s="1542"/>
      <c r="AX370" s="1542"/>
      <c r="AY370" s="1542"/>
      <c r="AZ370" s="1542"/>
      <c r="BA370" s="1542"/>
      <c r="BB370" s="1542"/>
      <c r="BC370" s="1542"/>
      <c r="BD370" s="1542"/>
      <c r="BE370" s="1542"/>
      <c r="BF370" s="1542"/>
      <c r="BG370" s="1542"/>
      <c r="BH370" s="1542"/>
      <c r="BI370" s="1542"/>
      <c r="BJ370" s="1542"/>
      <c r="BK370" s="1542"/>
      <c r="BL370" s="1542"/>
      <c r="BM370" s="1542"/>
      <c r="BN370" s="1542"/>
      <c r="BO370" s="1542"/>
      <c r="BP370" s="1542"/>
      <c r="BQ370" s="1542"/>
      <c r="BR370" s="1542"/>
      <c r="BS370" s="1542"/>
      <c r="BT370" s="1542"/>
      <c r="BU370" s="1542"/>
      <c r="BV370" s="1542"/>
      <c r="BW370" s="1542"/>
      <c r="BX370" s="1542"/>
      <c r="BY370" s="1542"/>
      <c r="BZ370" s="1542"/>
      <c r="CA370" s="1542"/>
      <c r="CB370" s="1542"/>
      <c r="CC370" s="1542"/>
      <c r="CD370" s="1542"/>
      <c r="CE370" s="1542"/>
      <c r="CF370" s="1542"/>
      <c r="CG370" s="1542"/>
      <c r="CH370" s="1542"/>
      <c r="CI370" s="1542"/>
      <c r="CJ370" s="1542"/>
      <c r="CK370" s="1542"/>
      <c r="CL370" s="1542"/>
      <c r="CM370" s="1542"/>
      <c r="CN370" s="1542"/>
      <c r="CO370" s="1542"/>
      <c r="CP370" s="1542"/>
      <c r="CQ370" s="1542"/>
      <c r="CR370" s="1542"/>
      <c r="CS370" s="1542"/>
      <c r="CT370" s="1542"/>
      <c r="CU370" s="1542"/>
      <c r="CV370" s="1542"/>
      <c r="CW370" s="1542"/>
      <c r="CX370" s="1542"/>
      <c r="CY370" s="1542"/>
      <c r="CZ370" s="1542"/>
      <c r="DA370" s="1542"/>
      <c r="DB370" s="1542"/>
      <c r="DC370" s="1542"/>
      <c r="DD370" s="1542"/>
      <c r="DE370" s="1542"/>
      <c r="DF370" s="1542"/>
      <c r="DG370" s="1542"/>
      <c r="DH370" s="1542"/>
      <c r="DI370" s="1542"/>
      <c r="DJ370" s="1542"/>
      <c r="DK370" s="1542"/>
      <c r="DL370" s="1542"/>
      <c r="DM370" s="1542"/>
      <c r="DN370" s="1542"/>
      <c r="DO370" s="1542"/>
      <c r="DP370" s="1542"/>
      <c r="DQ370" s="1542"/>
      <c r="DR370" s="1542"/>
      <c r="DS370" s="1542"/>
      <c r="DT370" s="1542"/>
      <c r="DU370" s="1542"/>
      <c r="DV370" s="1542"/>
      <c r="DW370" s="1542"/>
      <c r="DX370" s="1542"/>
      <c r="DY370" s="1542"/>
      <c r="DZ370" s="1542"/>
      <c r="EA370" s="1542"/>
      <c r="EB370" s="1542"/>
      <c r="EC370" s="1542"/>
      <c r="ED370" s="1542"/>
      <c r="EE370" s="1542"/>
      <c r="EF370" s="1542"/>
      <c r="EG370" s="1542"/>
      <c r="EH370" s="1542"/>
      <c r="EI370" s="1542"/>
      <c r="EJ370" s="1542"/>
      <c r="EK370" s="1542"/>
      <c r="EL370" s="1542"/>
      <c r="EM370" s="1542"/>
      <c r="EN370" s="1542"/>
      <c r="EO370" s="1542"/>
      <c r="EP370" s="1542"/>
      <c r="EQ370" s="1542"/>
      <c r="ER370" s="1542"/>
      <c r="ES370" s="1542"/>
      <c r="ET370" s="1542"/>
      <c r="EU370" s="1542"/>
      <c r="EV370" s="1542"/>
      <c r="EW370" s="1542"/>
      <c r="EX370" s="1542"/>
      <c r="EY370" s="1542"/>
      <c r="EZ370" s="1542"/>
      <c r="FA370" s="1542"/>
      <c r="FB370" s="1542"/>
      <c r="FC370" s="1542"/>
      <c r="FD370" s="1542"/>
      <c r="FE370" s="1542"/>
      <c r="FF370" s="1542"/>
      <c r="FG370" s="1542"/>
      <c r="FH370" s="1542"/>
      <c r="FI370" s="1542"/>
      <c r="FJ370" s="1542"/>
      <c r="FK370" s="1542"/>
      <c r="FL370" s="1542"/>
      <c r="FM370" s="1542"/>
      <c r="FN370" s="1542"/>
      <c r="FO370" s="1542"/>
      <c r="FP370" s="1542"/>
      <c r="FQ370" s="1542"/>
      <c r="FR370" s="1542"/>
      <c r="FS370" s="1542"/>
      <c r="FT370" s="1542"/>
      <c r="FU370" s="1542"/>
      <c r="FV370" s="1542"/>
      <c r="FW370" s="1542"/>
      <c r="FX370" s="1542"/>
      <c r="FY370" s="1542"/>
      <c r="FZ370" s="1542"/>
      <c r="GA370" s="1542"/>
      <c r="GB370" s="1542"/>
      <c r="GC370" s="1542"/>
      <c r="GD370" s="1542"/>
      <c r="GE370" s="1542"/>
      <c r="GF370" s="1542"/>
      <c r="GG370" s="1542"/>
      <c r="GH370" s="1542"/>
      <c r="GI370" s="1542"/>
      <c r="GJ370" s="1542"/>
      <c r="GK370" s="1542"/>
      <c r="GL370" s="1542"/>
      <c r="GM370" s="1542"/>
      <c r="GN370" s="1542"/>
      <c r="GO370" s="1542"/>
      <c r="GP370" s="1542"/>
      <c r="GQ370" s="1542"/>
      <c r="GR370" s="1542"/>
      <c r="GS370" s="1542"/>
      <c r="GT370" s="1542"/>
      <c r="GU370" s="1542"/>
      <c r="GV370" s="1542"/>
      <c r="GW370" s="1542"/>
      <c r="GX370" s="1542"/>
      <c r="GY370" s="1542"/>
      <c r="GZ370" s="1542"/>
      <c r="HA370" s="1542"/>
      <c r="HB370" s="1542"/>
      <c r="HC370" s="1542"/>
      <c r="HD370" s="1542"/>
      <c r="HE370" s="1542"/>
      <c r="HF370" s="1542"/>
      <c r="HG370" s="1542"/>
      <c r="HH370" s="1542"/>
      <c r="HI370" s="1542"/>
      <c r="HJ370" s="1542"/>
      <c r="HK370" s="1542"/>
      <c r="HL370" s="1542"/>
      <c r="HM370" s="1542"/>
      <c r="HN370" s="1542"/>
      <c r="HO370" s="1542"/>
      <c r="HP370" s="1542"/>
      <c r="HQ370" s="1542"/>
      <c r="HR370" s="1542"/>
      <c r="HS370" s="1542"/>
      <c r="HT370" s="1542"/>
      <c r="HU370" s="1542"/>
      <c r="HV370" s="1542"/>
      <c r="HW370" s="1542"/>
      <c r="HX370" s="1542"/>
      <c r="HY370" s="1542"/>
    </row>
    <row r="371" spans="1:233" s="1545" customFormat="1" ht="12.95" customHeight="1" x14ac:dyDescent="0.2">
      <c r="A371" s="5"/>
      <c r="B371" s="5"/>
      <c r="C371" s="5"/>
      <c r="D371" s="5"/>
      <c r="E371" s="6"/>
      <c r="F371" s="6"/>
      <c r="G371" s="1542"/>
      <c r="H371" s="1542"/>
      <c r="I371" s="1542"/>
      <c r="J371" s="1542"/>
      <c r="K371" s="1542"/>
      <c r="L371" s="1542"/>
      <c r="M371" s="1542"/>
      <c r="N371" s="1542"/>
      <c r="O371" s="1542"/>
      <c r="P371" s="1542"/>
      <c r="Q371" s="1542"/>
      <c r="R371" s="1542"/>
      <c r="S371" s="1542"/>
      <c r="T371" s="1542"/>
      <c r="U371" s="1542"/>
      <c r="V371" s="1542"/>
      <c r="W371" s="1542"/>
      <c r="X371" s="1542"/>
      <c r="Y371" s="1542"/>
      <c r="Z371" s="1542"/>
      <c r="AA371" s="1542"/>
      <c r="AB371" s="1542"/>
      <c r="AC371" s="1542"/>
      <c r="AD371" s="1542"/>
      <c r="AE371" s="1542"/>
      <c r="AF371" s="1542"/>
      <c r="AG371" s="1542"/>
      <c r="AH371" s="1542"/>
      <c r="AI371" s="1542"/>
      <c r="AJ371" s="1542"/>
      <c r="AK371" s="1542"/>
      <c r="AL371" s="1542"/>
      <c r="AM371" s="1542"/>
      <c r="AN371" s="1542"/>
      <c r="AO371" s="1542"/>
      <c r="AP371" s="1542"/>
      <c r="AQ371" s="1542"/>
      <c r="AR371" s="1542"/>
      <c r="AS371" s="1542"/>
      <c r="AT371" s="1542"/>
      <c r="AU371" s="1542"/>
      <c r="AV371" s="1542"/>
      <c r="AW371" s="1542"/>
      <c r="AX371" s="1542"/>
      <c r="AY371" s="1542"/>
      <c r="AZ371" s="1542"/>
      <c r="BA371" s="1542"/>
      <c r="BB371" s="1542"/>
      <c r="BC371" s="1542"/>
      <c r="BD371" s="1542"/>
      <c r="BE371" s="1542"/>
      <c r="BF371" s="1542"/>
      <c r="BG371" s="1542"/>
      <c r="BH371" s="1542"/>
      <c r="BI371" s="1542"/>
      <c r="BJ371" s="1542"/>
      <c r="BK371" s="1542"/>
      <c r="BL371" s="1542"/>
      <c r="BM371" s="1542"/>
      <c r="BN371" s="1542"/>
      <c r="BO371" s="1542"/>
      <c r="BP371" s="1542"/>
      <c r="BQ371" s="1542"/>
      <c r="BR371" s="1542"/>
      <c r="BS371" s="1542"/>
      <c r="BT371" s="1542"/>
      <c r="BU371" s="1542"/>
      <c r="BV371" s="1542"/>
      <c r="BW371" s="1542"/>
      <c r="BX371" s="1542"/>
      <c r="BY371" s="1542"/>
      <c r="BZ371" s="1542"/>
      <c r="CA371" s="1542"/>
      <c r="CB371" s="1542"/>
      <c r="CC371" s="1542"/>
      <c r="CD371" s="1542"/>
      <c r="CE371" s="1542"/>
      <c r="CF371" s="1542"/>
      <c r="CG371" s="1542"/>
      <c r="CH371" s="1542"/>
      <c r="CI371" s="1542"/>
      <c r="CJ371" s="1542"/>
      <c r="CK371" s="1542"/>
      <c r="CL371" s="1542"/>
      <c r="CM371" s="1542"/>
      <c r="CN371" s="1542"/>
      <c r="CO371" s="1542"/>
      <c r="CP371" s="1542"/>
      <c r="CQ371" s="1542"/>
      <c r="CR371" s="1542"/>
      <c r="CS371" s="1542"/>
      <c r="CT371" s="1542"/>
      <c r="CU371" s="1542"/>
      <c r="CV371" s="1542"/>
      <c r="CW371" s="1542"/>
      <c r="CX371" s="1542"/>
      <c r="CY371" s="1542"/>
      <c r="CZ371" s="1542"/>
      <c r="DA371" s="1542"/>
      <c r="DB371" s="1542"/>
      <c r="DC371" s="1542"/>
      <c r="DD371" s="1542"/>
      <c r="DE371" s="1542"/>
      <c r="DF371" s="1542"/>
      <c r="DG371" s="1542"/>
      <c r="DH371" s="1542"/>
      <c r="DI371" s="1542"/>
      <c r="DJ371" s="1542"/>
      <c r="DK371" s="1542"/>
      <c r="DL371" s="1542"/>
      <c r="DM371" s="1542"/>
      <c r="DN371" s="1542"/>
      <c r="DO371" s="1542"/>
      <c r="DP371" s="1542"/>
      <c r="DQ371" s="1542"/>
      <c r="DR371" s="1542"/>
      <c r="DS371" s="1542"/>
      <c r="DT371" s="1542"/>
      <c r="DU371" s="1542"/>
      <c r="DV371" s="1542"/>
      <c r="DW371" s="1542"/>
      <c r="DX371" s="1542"/>
      <c r="DY371" s="1542"/>
      <c r="DZ371" s="1542"/>
      <c r="EA371" s="1542"/>
      <c r="EB371" s="1542"/>
      <c r="EC371" s="1542"/>
      <c r="ED371" s="1542"/>
      <c r="EE371" s="1542"/>
      <c r="EF371" s="1542"/>
      <c r="EG371" s="1542"/>
      <c r="EH371" s="1542"/>
      <c r="EI371" s="1542"/>
      <c r="EJ371" s="1542"/>
      <c r="EK371" s="1542"/>
      <c r="EL371" s="1542"/>
      <c r="EM371" s="1542"/>
      <c r="EN371" s="1542"/>
      <c r="EO371" s="1542"/>
      <c r="EP371" s="1542"/>
      <c r="EQ371" s="1542"/>
      <c r="ER371" s="1542"/>
      <c r="ES371" s="1542"/>
      <c r="ET371" s="1542"/>
      <c r="EU371" s="1542"/>
      <c r="EV371" s="1542"/>
      <c r="EW371" s="1542"/>
      <c r="EX371" s="1542"/>
      <c r="EY371" s="1542"/>
      <c r="EZ371" s="1542"/>
      <c r="FA371" s="1542"/>
      <c r="FB371" s="1542"/>
      <c r="FC371" s="1542"/>
      <c r="FD371" s="1542"/>
      <c r="FE371" s="1542"/>
      <c r="FF371" s="1542"/>
      <c r="FG371" s="1542"/>
      <c r="FH371" s="1542"/>
      <c r="FI371" s="1542"/>
      <c r="FJ371" s="1542"/>
      <c r="FK371" s="1542"/>
      <c r="FL371" s="1542"/>
      <c r="FM371" s="1542"/>
      <c r="FN371" s="1542"/>
      <c r="FO371" s="1542"/>
      <c r="FP371" s="1542"/>
      <c r="FQ371" s="1542"/>
      <c r="FR371" s="1542"/>
      <c r="FS371" s="1542"/>
      <c r="FT371" s="1542"/>
      <c r="FU371" s="1542"/>
      <c r="FV371" s="1542"/>
      <c r="FW371" s="1542"/>
      <c r="FX371" s="1542"/>
      <c r="FY371" s="1542"/>
      <c r="FZ371" s="1542"/>
      <c r="GA371" s="1542"/>
      <c r="GB371" s="1542"/>
      <c r="GC371" s="1542"/>
      <c r="GD371" s="1542"/>
      <c r="GE371" s="1542"/>
      <c r="GF371" s="1542"/>
      <c r="GG371" s="1542"/>
      <c r="GH371" s="1542"/>
      <c r="GI371" s="1542"/>
      <c r="GJ371" s="1542"/>
      <c r="GK371" s="1542"/>
      <c r="GL371" s="1542"/>
      <c r="GM371" s="1542"/>
      <c r="GN371" s="1542"/>
      <c r="GO371" s="1542"/>
      <c r="GP371" s="1542"/>
      <c r="GQ371" s="1542"/>
      <c r="GR371" s="1542"/>
      <c r="GS371" s="1542"/>
      <c r="GT371" s="1542"/>
      <c r="GU371" s="1542"/>
      <c r="GV371" s="1542"/>
      <c r="GW371" s="1542"/>
      <c r="GX371" s="1542"/>
      <c r="GY371" s="1542"/>
      <c r="GZ371" s="1542"/>
      <c r="HA371" s="1542"/>
      <c r="HB371" s="1542"/>
      <c r="HC371" s="1542"/>
      <c r="HD371" s="1542"/>
      <c r="HE371" s="1542"/>
      <c r="HF371" s="1542"/>
      <c r="HG371" s="1542"/>
      <c r="HH371" s="1542"/>
      <c r="HI371" s="1542"/>
      <c r="HJ371" s="1542"/>
      <c r="HK371" s="1542"/>
      <c r="HL371" s="1542"/>
      <c r="HM371" s="1542"/>
      <c r="HN371" s="1542"/>
      <c r="HO371" s="1542"/>
      <c r="HP371" s="1542"/>
      <c r="HQ371" s="1542"/>
      <c r="HR371" s="1542"/>
      <c r="HS371" s="1542"/>
      <c r="HT371" s="1542"/>
      <c r="HU371" s="1542"/>
      <c r="HV371" s="1542"/>
      <c r="HW371" s="1542"/>
      <c r="HX371" s="1542"/>
      <c r="HY371" s="1542"/>
    </row>
    <row r="372" spans="1:233" s="1546" customFormat="1" ht="40.5" customHeight="1" x14ac:dyDescent="0.25">
      <c r="A372" s="5"/>
      <c r="B372" s="5"/>
      <c r="C372" s="5"/>
      <c r="D372" s="5"/>
      <c r="E372" s="6"/>
      <c r="F372" s="6"/>
    </row>
    <row r="373" spans="1:233" s="1547" customFormat="1" x14ac:dyDescent="0.2">
      <c r="A373" s="5"/>
      <c r="B373" s="5"/>
      <c r="C373" s="5"/>
      <c r="D373" s="5"/>
      <c r="E373" s="6"/>
      <c r="F373" s="6"/>
      <c r="G373" s="1548"/>
      <c r="H373" s="1548"/>
      <c r="I373" s="1548"/>
      <c r="J373" s="1548"/>
      <c r="K373" s="1548"/>
      <c r="L373" s="1548"/>
      <c r="M373" s="1548"/>
      <c r="N373" s="1548"/>
      <c r="O373" s="1548"/>
      <c r="P373" s="1548"/>
      <c r="Q373" s="1548"/>
      <c r="R373" s="1548"/>
      <c r="S373" s="1548"/>
      <c r="T373" s="1548"/>
      <c r="U373" s="1548"/>
      <c r="V373" s="1548"/>
      <c r="W373" s="1548"/>
      <c r="X373" s="1548"/>
      <c r="Y373" s="1548"/>
      <c r="Z373" s="1548"/>
      <c r="AA373" s="1548"/>
      <c r="AB373" s="1548"/>
      <c r="AC373" s="1548"/>
      <c r="AD373" s="1548"/>
      <c r="AE373" s="1548"/>
      <c r="AF373" s="1548"/>
      <c r="AG373" s="1548"/>
      <c r="AH373" s="1548"/>
      <c r="AI373" s="1548"/>
      <c r="AJ373" s="1548"/>
      <c r="AK373" s="1548"/>
      <c r="AL373" s="1548"/>
      <c r="AM373" s="1548"/>
      <c r="AN373" s="1548"/>
      <c r="AO373" s="1548"/>
      <c r="AP373" s="1548"/>
      <c r="AQ373" s="1548"/>
      <c r="AR373" s="1548"/>
      <c r="AS373" s="1548"/>
      <c r="AT373" s="1548"/>
      <c r="AU373" s="1548"/>
      <c r="AV373" s="1548"/>
      <c r="AW373" s="1548"/>
      <c r="AX373" s="1548"/>
      <c r="AY373" s="1548"/>
      <c r="AZ373" s="1548"/>
      <c r="BA373" s="1548"/>
      <c r="BB373" s="1548"/>
      <c r="BC373" s="1548"/>
      <c r="BD373" s="1548"/>
      <c r="BE373" s="1548"/>
      <c r="BF373" s="1548"/>
      <c r="BG373" s="1548"/>
      <c r="BH373" s="1548"/>
      <c r="BI373" s="1548"/>
      <c r="BJ373" s="1548"/>
      <c r="BK373" s="1548"/>
      <c r="BL373" s="1548"/>
      <c r="BM373" s="1548"/>
      <c r="BN373" s="1548"/>
      <c r="BO373" s="1548"/>
      <c r="BP373" s="1548"/>
      <c r="BQ373" s="1548"/>
      <c r="BR373" s="1548"/>
      <c r="BS373" s="1548"/>
      <c r="BT373" s="1548"/>
      <c r="BU373" s="1548"/>
      <c r="BV373" s="1548"/>
      <c r="BW373" s="1548"/>
      <c r="BX373" s="1548"/>
      <c r="BY373" s="1548"/>
      <c r="BZ373" s="1548"/>
      <c r="CA373" s="1548"/>
      <c r="CB373" s="1548"/>
      <c r="CC373" s="1548"/>
      <c r="CD373" s="1548"/>
      <c r="CE373" s="1548"/>
      <c r="CF373" s="1548"/>
      <c r="CG373" s="1548"/>
      <c r="CH373" s="1548"/>
      <c r="CI373" s="1548"/>
      <c r="CJ373" s="1548"/>
      <c r="CK373" s="1548"/>
      <c r="CL373" s="1548"/>
      <c r="CM373" s="1548"/>
      <c r="CN373" s="1548"/>
      <c r="CO373" s="1548"/>
      <c r="CP373" s="1548"/>
      <c r="CQ373" s="1548"/>
      <c r="CR373" s="1548"/>
      <c r="CS373" s="1548"/>
      <c r="CT373" s="1548"/>
      <c r="CU373" s="1548"/>
      <c r="CV373" s="1548"/>
      <c r="CW373" s="1548"/>
      <c r="CX373" s="1548"/>
      <c r="CY373" s="1548"/>
      <c r="CZ373" s="1548"/>
      <c r="DA373" s="1548"/>
      <c r="DB373" s="1548"/>
      <c r="DC373" s="1548"/>
      <c r="DD373" s="1548"/>
      <c r="DE373" s="1548"/>
      <c r="DF373" s="1548"/>
      <c r="DG373" s="1548"/>
      <c r="DH373" s="1548"/>
      <c r="DI373" s="1548"/>
      <c r="DJ373" s="1548"/>
      <c r="DK373" s="1548"/>
      <c r="DL373" s="1548"/>
      <c r="DM373" s="1548"/>
      <c r="DN373" s="1548"/>
      <c r="DO373" s="1548"/>
      <c r="DP373" s="1548"/>
      <c r="DQ373" s="1548"/>
      <c r="DR373" s="1548"/>
      <c r="DS373" s="1548"/>
      <c r="DT373" s="1548"/>
      <c r="DU373" s="1548"/>
      <c r="DV373" s="1548"/>
      <c r="DW373" s="1548"/>
      <c r="DX373" s="1548"/>
      <c r="DY373" s="1548"/>
      <c r="DZ373" s="1548"/>
      <c r="EA373" s="1548"/>
      <c r="EB373" s="1548"/>
      <c r="EC373" s="1548"/>
      <c r="ED373" s="1548"/>
      <c r="EE373" s="1548"/>
      <c r="EF373" s="1548"/>
      <c r="EG373" s="1548"/>
      <c r="EH373" s="1548"/>
      <c r="EI373" s="1548"/>
      <c r="EJ373" s="1548"/>
      <c r="EK373" s="1548"/>
      <c r="EL373" s="1548"/>
      <c r="EM373" s="1548"/>
      <c r="EN373" s="1548"/>
      <c r="EO373" s="1548"/>
      <c r="EP373" s="1548"/>
      <c r="EQ373" s="1548"/>
      <c r="ER373" s="1548"/>
      <c r="ES373" s="1548"/>
      <c r="ET373" s="1548"/>
      <c r="EU373" s="1548"/>
      <c r="EV373" s="1548"/>
      <c r="EW373" s="1548"/>
      <c r="EX373" s="1548"/>
      <c r="EY373" s="1548"/>
      <c r="EZ373" s="1548"/>
      <c r="FA373" s="1548"/>
      <c r="FB373" s="1548"/>
      <c r="FC373" s="1548"/>
      <c r="FD373" s="1548"/>
      <c r="FE373" s="1548"/>
      <c r="FF373" s="1548"/>
      <c r="FG373" s="1548"/>
      <c r="FH373" s="1548"/>
      <c r="FI373" s="1548"/>
      <c r="FJ373" s="1548"/>
      <c r="FK373" s="1548"/>
      <c r="FL373" s="1548"/>
      <c r="FM373" s="1548"/>
      <c r="FN373" s="1548"/>
      <c r="FO373" s="1548"/>
      <c r="FP373" s="1548"/>
      <c r="FQ373" s="1548"/>
      <c r="FR373" s="1548"/>
      <c r="FS373" s="1548"/>
      <c r="FT373" s="1548"/>
      <c r="FU373" s="1548"/>
      <c r="FV373" s="1548"/>
      <c r="FW373" s="1548"/>
      <c r="FX373" s="1548"/>
      <c r="FY373" s="1548"/>
      <c r="FZ373" s="1548"/>
      <c r="GA373" s="1548"/>
      <c r="GB373" s="1548"/>
      <c r="GC373" s="1548"/>
      <c r="GD373" s="1548"/>
      <c r="GE373" s="1548"/>
      <c r="GF373" s="1548"/>
      <c r="GG373" s="1548"/>
      <c r="GH373" s="1548"/>
      <c r="GI373" s="1548"/>
      <c r="GJ373" s="1548"/>
      <c r="GK373" s="1548"/>
      <c r="GL373" s="1548"/>
      <c r="GM373" s="1548"/>
      <c r="GN373" s="1548"/>
      <c r="GO373" s="1548"/>
      <c r="GP373" s="1548"/>
      <c r="GQ373" s="1548"/>
      <c r="GR373" s="1548"/>
      <c r="GS373" s="1548"/>
      <c r="GT373" s="1548"/>
      <c r="GU373" s="1548"/>
      <c r="GV373" s="1548"/>
      <c r="GW373" s="1548"/>
      <c r="GX373" s="1548"/>
      <c r="GY373" s="1548"/>
      <c r="GZ373" s="1548"/>
      <c r="HA373" s="1548"/>
      <c r="HB373" s="1548"/>
      <c r="HC373" s="1548"/>
      <c r="HD373" s="1548"/>
      <c r="HE373" s="1548"/>
      <c r="HF373" s="1548"/>
      <c r="HG373" s="1548"/>
      <c r="HH373" s="1548"/>
      <c r="HI373" s="1548"/>
      <c r="HJ373" s="1548"/>
      <c r="HK373" s="1548"/>
      <c r="HL373" s="1548"/>
      <c r="HM373" s="1548"/>
      <c r="HN373" s="1548"/>
      <c r="HO373" s="1548"/>
      <c r="HP373" s="1548"/>
      <c r="HQ373" s="1548"/>
      <c r="HR373" s="1548"/>
      <c r="HS373" s="1548"/>
      <c r="HT373" s="1548"/>
      <c r="HU373" s="1548"/>
      <c r="HV373" s="1548"/>
      <c r="HW373" s="1548"/>
    </row>
    <row r="374" spans="1:233" s="1541" customFormat="1" ht="12" customHeight="1" x14ac:dyDescent="0.25">
      <c r="A374" s="5"/>
      <c r="B374" s="5"/>
      <c r="C374" s="5"/>
      <c r="D374" s="5"/>
      <c r="E374" s="6"/>
      <c r="F374" s="6"/>
      <c r="G374" s="1549"/>
      <c r="H374" s="1549"/>
      <c r="I374" s="1549"/>
      <c r="J374" s="1549"/>
      <c r="K374" s="1549"/>
      <c r="L374" s="1549"/>
      <c r="M374" s="1549"/>
      <c r="N374" s="1549"/>
      <c r="O374" s="1549"/>
      <c r="P374" s="1549"/>
      <c r="Q374" s="1549"/>
      <c r="R374" s="1549"/>
      <c r="S374" s="1549"/>
      <c r="T374" s="1549"/>
      <c r="U374" s="1549"/>
      <c r="V374" s="1549"/>
      <c r="W374" s="1549"/>
      <c r="X374" s="1549"/>
      <c r="Y374" s="1549"/>
      <c r="Z374" s="1549"/>
      <c r="AA374" s="1549"/>
      <c r="AB374" s="1549"/>
      <c r="AC374" s="1549"/>
      <c r="AD374" s="1549"/>
      <c r="AE374" s="1549"/>
      <c r="AF374" s="1549"/>
      <c r="AG374" s="1549"/>
      <c r="AH374" s="1549"/>
      <c r="AI374" s="1549"/>
      <c r="AJ374" s="1549"/>
      <c r="AK374" s="1549"/>
      <c r="AL374" s="1549"/>
      <c r="AM374" s="1549"/>
      <c r="AN374" s="1549"/>
      <c r="AO374" s="1549"/>
      <c r="AP374" s="1549"/>
      <c r="AQ374" s="1549"/>
      <c r="AR374" s="1549"/>
      <c r="AS374" s="1549"/>
      <c r="AT374" s="1549"/>
      <c r="AU374" s="1549"/>
      <c r="AV374" s="1549"/>
      <c r="AW374" s="1549"/>
      <c r="AX374" s="1549"/>
      <c r="AY374" s="1549"/>
      <c r="AZ374" s="1549"/>
      <c r="BA374" s="1549"/>
      <c r="BB374" s="1549"/>
      <c r="BC374" s="1549"/>
      <c r="BD374" s="1549"/>
      <c r="BE374" s="1549"/>
      <c r="BF374" s="1549"/>
      <c r="BG374" s="1549"/>
      <c r="BH374" s="1549"/>
      <c r="BI374" s="1549"/>
      <c r="BJ374" s="1549"/>
      <c r="BK374" s="1549"/>
      <c r="BL374" s="1549"/>
      <c r="BM374" s="1549"/>
      <c r="BN374" s="1549"/>
      <c r="BO374" s="1549"/>
      <c r="BP374" s="1549"/>
      <c r="BQ374" s="1549"/>
      <c r="BR374" s="1549"/>
      <c r="BS374" s="1549"/>
      <c r="BT374" s="1549"/>
      <c r="BU374" s="1549"/>
      <c r="BV374" s="1549"/>
      <c r="BW374" s="1549"/>
      <c r="BX374" s="1549"/>
      <c r="BY374" s="1549"/>
      <c r="BZ374" s="1549"/>
      <c r="CA374" s="1549"/>
      <c r="CB374" s="1549"/>
      <c r="CC374" s="1549"/>
      <c r="CD374" s="1549"/>
      <c r="CE374" s="1549"/>
      <c r="CF374" s="1549"/>
      <c r="CG374" s="1549"/>
      <c r="CH374" s="1549"/>
      <c r="CI374" s="1549"/>
      <c r="CJ374" s="1549"/>
      <c r="CK374" s="1549"/>
      <c r="CL374" s="1549"/>
      <c r="CM374" s="1549"/>
      <c r="CN374" s="1549"/>
      <c r="CO374" s="1549"/>
      <c r="CP374" s="1549"/>
      <c r="CQ374" s="1549"/>
      <c r="CR374" s="1549"/>
      <c r="CS374" s="1549"/>
      <c r="CT374" s="1549"/>
      <c r="CU374" s="1549"/>
      <c r="CV374" s="1549"/>
      <c r="CW374" s="1549"/>
      <c r="CX374" s="1549"/>
      <c r="CY374" s="1549"/>
      <c r="CZ374" s="1549"/>
      <c r="DA374" s="1549"/>
      <c r="DB374" s="1549"/>
      <c r="DC374" s="1549"/>
      <c r="DD374" s="1549"/>
      <c r="DE374" s="1549"/>
      <c r="DF374" s="1549"/>
      <c r="DG374" s="1549"/>
      <c r="DH374" s="1549"/>
      <c r="DI374" s="1549"/>
      <c r="DJ374" s="1549"/>
      <c r="DK374" s="1549"/>
      <c r="DL374" s="1549"/>
      <c r="DM374" s="1549"/>
      <c r="DN374" s="1549"/>
      <c r="DO374" s="1549"/>
      <c r="DP374" s="1549"/>
      <c r="DQ374" s="1549"/>
      <c r="DR374" s="1549"/>
      <c r="DS374" s="1549"/>
      <c r="DT374" s="1549"/>
      <c r="DU374" s="1549"/>
      <c r="DV374" s="1549"/>
      <c r="DW374" s="1549"/>
      <c r="DX374" s="1549"/>
      <c r="DY374" s="1549"/>
      <c r="DZ374" s="1549"/>
      <c r="EA374" s="1549"/>
      <c r="EB374" s="1549"/>
      <c r="EC374" s="1549"/>
      <c r="ED374" s="1549"/>
      <c r="EE374" s="1549"/>
      <c r="EF374" s="1549"/>
      <c r="EG374" s="1549"/>
      <c r="EH374" s="1549"/>
      <c r="EI374" s="1549"/>
      <c r="EJ374" s="1549"/>
      <c r="EK374" s="1549"/>
      <c r="EL374" s="1549"/>
      <c r="EM374" s="1549"/>
      <c r="EN374" s="1549"/>
      <c r="EO374" s="1549"/>
      <c r="EP374" s="1549"/>
      <c r="EQ374" s="1549"/>
      <c r="ER374" s="1549"/>
      <c r="ES374" s="1549"/>
      <c r="ET374" s="1549"/>
      <c r="EU374" s="1549"/>
      <c r="EV374" s="1549"/>
      <c r="EW374" s="1549"/>
      <c r="EX374" s="1549"/>
      <c r="EY374" s="1549"/>
      <c r="EZ374" s="1549"/>
      <c r="FA374" s="1549"/>
      <c r="FB374" s="1549"/>
      <c r="FC374" s="1549"/>
      <c r="FD374" s="1549"/>
      <c r="FE374" s="1549"/>
      <c r="FF374" s="1549"/>
      <c r="FG374" s="1549"/>
      <c r="FH374" s="1549"/>
      <c r="FI374" s="1549"/>
      <c r="FJ374" s="1549"/>
      <c r="FK374" s="1549"/>
      <c r="FL374" s="1549"/>
      <c r="FM374" s="1549"/>
      <c r="FN374" s="1549"/>
      <c r="FO374" s="1549"/>
      <c r="FP374" s="1549"/>
      <c r="FQ374" s="1549"/>
      <c r="FR374" s="1549"/>
      <c r="FS374" s="1549"/>
      <c r="FT374" s="1549"/>
      <c r="FU374" s="1549"/>
      <c r="FV374" s="1549"/>
      <c r="FW374" s="1549"/>
      <c r="FX374" s="1549"/>
      <c r="FY374" s="1549"/>
      <c r="FZ374" s="1549"/>
      <c r="GA374" s="1549"/>
      <c r="GB374" s="1549"/>
      <c r="GC374" s="1549"/>
      <c r="GD374" s="1549"/>
      <c r="GE374" s="1549"/>
      <c r="GF374" s="1549"/>
      <c r="GG374" s="1549"/>
      <c r="GH374" s="1549"/>
      <c r="GI374" s="1549"/>
      <c r="GJ374" s="1549"/>
      <c r="GK374" s="1549"/>
      <c r="GL374" s="1549"/>
      <c r="GM374" s="1549"/>
      <c r="GN374" s="1549"/>
      <c r="GO374" s="1549"/>
      <c r="GP374" s="1549"/>
      <c r="GQ374" s="1549"/>
      <c r="GR374" s="1549"/>
      <c r="GS374" s="1549"/>
      <c r="GT374" s="1549"/>
      <c r="GU374" s="1549"/>
      <c r="GV374" s="1549"/>
      <c r="GW374" s="1549"/>
      <c r="GX374" s="1549"/>
      <c r="GY374" s="1549"/>
      <c r="GZ374" s="1549"/>
      <c r="HA374" s="1549"/>
      <c r="HB374" s="1549"/>
      <c r="HC374" s="1549"/>
      <c r="HD374" s="1549"/>
      <c r="HE374" s="1549"/>
      <c r="HF374" s="1549"/>
      <c r="HG374" s="1549"/>
      <c r="HH374" s="1549"/>
      <c r="HI374" s="1549"/>
      <c r="HJ374" s="1549"/>
      <c r="HK374" s="1549"/>
      <c r="HL374" s="1549"/>
      <c r="HM374" s="1549"/>
      <c r="HN374" s="1549"/>
      <c r="HO374" s="1549"/>
      <c r="HP374" s="1549"/>
      <c r="HQ374" s="1549"/>
      <c r="HR374" s="1549"/>
      <c r="HS374" s="1549"/>
      <c r="HT374" s="1549"/>
      <c r="HU374" s="1549"/>
      <c r="HV374" s="1549"/>
      <c r="HW374" s="1549"/>
      <c r="HX374" s="1549"/>
      <c r="HY374" s="1549"/>
    </row>
    <row r="375" spans="1:233" s="1" customFormat="1" x14ac:dyDescent="0.2">
      <c r="A375" s="5"/>
      <c r="B375" s="5"/>
      <c r="C375" s="5"/>
      <c r="D375" s="5"/>
      <c r="E375" s="6"/>
      <c r="F375" s="6"/>
    </row>
    <row r="376" spans="1:233" s="1551" customFormat="1" ht="45.75" customHeight="1" x14ac:dyDescent="0.2">
      <c r="A376" s="5"/>
      <c r="B376" s="5"/>
      <c r="C376" s="5"/>
      <c r="D376" s="5"/>
      <c r="E376" s="6"/>
      <c r="F376" s="6"/>
      <c r="G376" s="1542"/>
      <c r="H376" s="1542"/>
      <c r="I376" s="1542"/>
      <c r="J376" s="1542"/>
      <c r="K376" s="1542"/>
      <c r="L376" s="1542"/>
      <c r="M376" s="1542"/>
      <c r="N376" s="1542"/>
      <c r="O376" s="1542"/>
      <c r="P376" s="1542"/>
      <c r="Q376" s="1542"/>
      <c r="R376" s="1542"/>
      <c r="S376" s="1542"/>
      <c r="T376" s="1542"/>
      <c r="U376" s="1542"/>
      <c r="V376" s="1542"/>
      <c r="W376" s="1542"/>
      <c r="X376" s="1542"/>
      <c r="Y376" s="1542"/>
      <c r="Z376" s="1542"/>
      <c r="AA376" s="1542"/>
      <c r="AB376" s="1542"/>
      <c r="AC376" s="1542"/>
      <c r="AD376" s="1542"/>
      <c r="AE376" s="1542"/>
      <c r="AF376" s="1542"/>
      <c r="AG376" s="1542"/>
      <c r="AH376" s="1542"/>
      <c r="AI376" s="1542"/>
      <c r="AJ376" s="1542"/>
      <c r="AK376" s="1542"/>
      <c r="AL376" s="1542"/>
      <c r="AM376" s="1542"/>
      <c r="AN376" s="1542"/>
      <c r="AO376" s="1542"/>
      <c r="AP376" s="1542"/>
      <c r="AQ376" s="1542"/>
      <c r="AR376" s="1542"/>
      <c r="AS376" s="1542"/>
      <c r="AT376" s="1542"/>
      <c r="AU376" s="1542"/>
      <c r="AV376" s="1542"/>
      <c r="AW376" s="1542"/>
      <c r="AX376" s="1542"/>
      <c r="AY376" s="1542"/>
      <c r="AZ376" s="1542"/>
      <c r="BA376" s="1542"/>
      <c r="BB376" s="1542"/>
      <c r="BC376" s="1542"/>
      <c r="BD376" s="1542"/>
      <c r="BE376" s="1542"/>
      <c r="BF376" s="1542"/>
      <c r="BG376" s="1542"/>
      <c r="BH376" s="1542"/>
      <c r="BI376" s="1542"/>
      <c r="BJ376" s="1542"/>
      <c r="BK376" s="1542"/>
      <c r="BL376" s="1542"/>
      <c r="BM376" s="1542"/>
      <c r="BN376" s="1542"/>
      <c r="BO376" s="1542"/>
      <c r="BP376" s="1542"/>
      <c r="BQ376" s="1542"/>
      <c r="BR376" s="1542"/>
      <c r="BS376" s="1542"/>
      <c r="BT376" s="1542"/>
      <c r="BU376" s="1542"/>
      <c r="BV376" s="1542"/>
      <c r="BW376" s="1542"/>
      <c r="BX376" s="1542"/>
      <c r="BY376" s="1542"/>
      <c r="BZ376" s="1542"/>
      <c r="CA376" s="1542"/>
      <c r="CB376" s="1542"/>
      <c r="CC376" s="1542"/>
      <c r="CD376" s="1542"/>
      <c r="CE376" s="1542"/>
      <c r="CF376" s="1542"/>
      <c r="CG376" s="1542"/>
      <c r="CH376" s="1542"/>
      <c r="CI376" s="1542"/>
      <c r="CJ376" s="1542"/>
      <c r="CK376" s="1542"/>
      <c r="CL376" s="1542"/>
      <c r="CM376" s="1542"/>
      <c r="CN376" s="1542"/>
      <c r="CO376" s="1542"/>
      <c r="CP376" s="1542"/>
      <c r="CQ376" s="1542"/>
      <c r="CR376" s="1542"/>
      <c r="CS376" s="1542"/>
      <c r="CT376" s="1542"/>
      <c r="CU376" s="1542"/>
      <c r="CV376" s="1542"/>
      <c r="CW376" s="1542"/>
      <c r="CX376" s="1542"/>
      <c r="CY376" s="1542"/>
      <c r="CZ376" s="1542"/>
      <c r="DA376" s="1542"/>
      <c r="DB376" s="1542"/>
      <c r="DC376" s="1542"/>
      <c r="DD376" s="1542"/>
      <c r="DE376" s="1542"/>
      <c r="DF376" s="1542"/>
      <c r="DG376" s="1542"/>
      <c r="DH376" s="1542"/>
      <c r="DI376" s="1542"/>
      <c r="DJ376" s="1542"/>
      <c r="DK376" s="1542"/>
      <c r="DL376" s="1542"/>
      <c r="DM376" s="1542"/>
      <c r="DN376" s="1542"/>
      <c r="DO376" s="1542"/>
      <c r="DP376" s="1542"/>
      <c r="DQ376" s="1542"/>
      <c r="DR376" s="1542"/>
      <c r="DS376" s="1542"/>
      <c r="DT376" s="1542"/>
      <c r="DU376" s="1542"/>
      <c r="DV376" s="1542"/>
      <c r="DW376" s="1542"/>
      <c r="DX376" s="1542"/>
      <c r="DY376" s="1542"/>
      <c r="DZ376" s="1542"/>
      <c r="EA376" s="1542"/>
      <c r="EB376" s="1542"/>
      <c r="EC376" s="1542"/>
      <c r="ED376" s="1542"/>
      <c r="EE376" s="1542"/>
      <c r="EF376" s="1542"/>
      <c r="EG376" s="1542"/>
      <c r="EH376" s="1542"/>
      <c r="EI376" s="1542"/>
      <c r="EJ376" s="1542"/>
      <c r="EK376" s="1542"/>
      <c r="EL376" s="1542"/>
      <c r="EM376" s="1542"/>
      <c r="EN376" s="1542"/>
      <c r="EO376" s="1542"/>
      <c r="EP376" s="1542"/>
      <c r="EQ376" s="1542"/>
      <c r="ER376" s="1542"/>
      <c r="ES376" s="1542"/>
      <c r="ET376" s="1542"/>
      <c r="EU376" s="1542"/>
      <c r="EV376" s="1542"/>
      <c r="EW376" s="1542"/>
      <c r="EX376" s="1542"/>
      <c r="EY376" s="1542"/>
      <c r="EZ376" s="1542"/>
      <c r="FA376" s="1542"/>
      <c r="FB376" s="1542"/>
      <c r="FC376" s="1542"/>
      <c r="FD376" s="1542"/>
      <c r="FE376" s="1542"/>
      <c r="FF376" s="1542"/>
      <c r="FG376" s="1542"/>
      <c r="FH376" s="1542"/>
      <c r="FI376" s="1542"/>
      <c r="FJ376" s="1542"/>
      <c r="FK376" s="1542"/>
      <c r="FL376" s="1542"/>
      <c r="FM376" s="1542"/>
      <c r="FN376" s="1542"/>
      <c r="FO376" s="1542"/>
      <c r="FP376" s="1542"/>
      <c r="FQ376" s="1542"/>
      <c r="FR376" s="1542"/>
      <c r="FS376" s="1542"/>
      <c r="FT376" s="1542"/>
      <c r="FU376" s="1542"/>
      <c r="FV376" s="1542"/>
      <c r="FW376" s="1542"/>
      <c r="FX376" s="1542"/>
      <c r="FY376" s="1542"/>
      <c r="FZ376" s="1542"/>
      <c r="GA376" s="1542"/>
      <c r="GB376" s="1542"/>
      <c r="GC376" s="1542"/>
      <c r="GD376" s="1542"/>
      <c r="GE376" s="1542"/>
      <c r="GF376" s="1542"/>
      <c r="GG376" s="1542"/>
      <c r="GH376" s="1542"/>
      <c r="GI376" s="1542"/>
      <c r="GJ376" s="1542"/>
      <c r="GK376" s="1542"/>
      <c r="GL376" s="1542"/>
      <c r="GM376" s="1542"/>
      <c r="GN376" s="1542"/>
      <c r="GO376" s="1542"/>
      <c r="GP376" s="1542"/>
      <c r="GQ376" s="1542"/>
      <c r="GR376" s="1542"/>
      <c r="GS376" s="1542"/>
      <c r="GT376" s="1542"/>
      <c r="GU376" s="1542"/>
      <c r="GV376" s="1542"/>
      <c r="GW376" s="1542"/>
      <c r="GX376" s="1542"/>
      <c r="GY376" s="1542"/>
      <c r="GZ376" s="1542"/>
      <c r="HA376" s="1542"/>
      <c r="HB376" s="1542"/>
      <c r="HC376" s="1542"/>
      <c r="HD376" s="1542"/>
      <c r="HE376" s="1542"/>
      <c r="HF376" s="1542"/>
      <c r="HG376" s="1542"/>
      <c r="HH376" s="1542"/>
      <c r="HI376" s="1542"/>
      <c r="HJ376" s="1542"/>
      <c r="HK376" s="1542"/>
      <c r="HL376" s="1542"/>
      <c r="HM376" s="1542"/>
      <c r="HN376" s="1542"/>
      <c r="HO376" s="1542"/>
      <c r="HP376" s="1542"/>
      <c r="HQ376" s="1542"/>
      <c r="HR376" s="1542"/>
      <c r="HS376" s="1542"/>
      <c r="HT376" s="1542"/>
      <c r="HU376" s="1542"/>
      <c r="HV376" s="1542"/>
      <c r="HW376" s="1542"/>
      <c r="HX376" s="1542"/>
      <c r="HY376" s="1542"/>
    </row>
    <row r="377" spans="1:233" s="1550" customFormat="1" ht="12.95" customHeight="1" x14ac:dyDescent="0.25">
      <c r="A377" s="5"/>
      <c r="B377" s="5"/>
      <c r="C377" s="5"/>
      <c r="D377" s="5"/>
      <c r="E377" s="6"/>
      <c r="F377" s="6"/>
      <c r="G377" s="1546"/>
      <c r="H377" s="1546"/>
      <c r="I377" s="1546"/>
      <c r="J377" s="1546"/>
      <c r="K377" s="1546"/>
      <c r="L377" s="1546"/>
      <c r="M377" s="1546"/>
      <c r="N377" s="1546"/>
      <c r="O377" s="1546"/>
      <c r="P377" s="1546"/>
      <c r="Q377" s="1546"/>
      <c r="R377" s="1546"/>
      <c r="S377" s="1546"/>
      <c r="T377" s="1546"/>
      <c r="U377" s="1546"/>
      <c r="V377" s="1546"/>
      <c r="W377" s="1546"/>
      <c r="X377" s="1546"/>
      <c r="Y377" s="1546"/>
      <c r="Z377" s="1546"/>
      <c r="AA377" s="1546"/>
      <c r="AB377" s="1546"/>
      <c r="AC377" s="1546"/>
      <c r="AD377" s="1546"/>
      <c r="AE377" s="1546"/>
      <c r="AF377" s="1546"/>
      <c r="AG377" s="1546"/>
      <c r="AH377" s="1546"/>
      <c r="AI377" s="1546"/>
      <c r="AJ377" s="1546"/>
      <c r="AK377" s="1546"/>
      <c r="AL377" s="1546"/>
      <c r="AM377" s="1546"/>
      <c r="AN377" s="1546"/>
      <c r="AO377" s="1546"/>
      <c r="AP377" s="1546"/>
      <c r="AQ377" s="1546"/>
      <c r="AR377" s="1546"/>
      <c r="AS377" s="1546"/>
      <c r="AT377" s="1546"/>
      <c r="AU377" s="1546"/>
      <c r="AV377" s="1546"/>
      <c r="AW377" s="1546"/>
      <c r="AX377" s="1546"/>
      <c r="AY377" s="1546"/>
      <c r="AZ377" s="1546"/>
      <c r="BA377" s="1546"/>
      <c r="BB377" s="1546"/>
      <c r="BC377" s="1546"/>
      <c r="BD377" s="1546"/>
      <c r="BE377" s="1546"/>
      <c r="BF377" s="1546"/>
      <c r="BG377" s="1546"/>
      <c r="BH377" s="1546"/>
      <c r="BI377" s="1546"/>
      <c r="BJ377" s="1546"/>
      <c r="BK377" s="1546"/>
      <c r="BL377" s="1546"/>
      <c r="BM377" s="1546"/>
      <c r="BN377" s="1546"/>
      <c r="BO377" s="1546"/>
      <c r="BP377" s="1546"/>
      <c r="BQ377" s="1546"/>
      <c r="BR377" s="1546"/>
      <c r="BS377" s="1546"/>
      <c r="BT377" s="1546"/>
      <c r="BU377" s="1546"/>
      <c r="BV377" s="1546"/>
      <c r="BW377" s="1546"/>
      <c r="BX377" s="1546"/>
      <c r="BY377" s="1546"/>
      <c r="BZ377" s="1546"/>
      <c r="CA377" s="1546"/>
      <c r="CB377" s="1546"/>
      <c r="CC377" s="1546"/>
      <c r="CD377" s="1546"/>
      <c r="CE377" s="1546"/>
      <c r="CF377" s="1546"/>
      <c r="CG377" s="1546"/>
      <c r="CH377" s="1546"/>
      <c r="CI377" s="1546"/>
      <c r="CJ377" s="1546"/>
      <c r="CK377" s="1546"/>
      <c r="CL377" s="1546"/>
      <c r="CM377" s="1546"/>
      <c r="CN377" s="1546"/>
      <c r="CO377" s="1546"/>
      <c r="CP377" s="1546"/>
      <c r="CQ377" s="1546"/>
      <c r="CR377" s="1546"/>
      <c r="CS377" s="1546"/>
      <c r="CT377" s="1546"/>
      <c r="CU377" s="1546"/>
      <c r="CV377" s="1546"/>
      <c r="CW377" s="1546"/>
      <c r="CX377" s="1546"/>
      <c r="CY377" s="1546"/>
      <c r="CZ377" s="1546"/>
      <c r="DA377" s="1546"/>
      <c r="DB377" s="1546"/>
      <c r="DC377" s="1546"/>
      <c r="DD377" s="1546"/>
      <c r="DE377" s="1546"/>
      <c r="DF377" s="1546"/>
      <c r="DG377" s="1546"/>
      <c r="DH377" s="1546"/>
      <c r="DI377" s="1546"/>
      <c r="DJ377" s="1546"/>
      <c r="DK377" s="1546"/>
      <c r="DL377" s="1546"/>
      <c r="DM377" s="1546"/>
      <c r="DN377" s="1546"/>
      <c r="DO377" s="1546"/>
      <c r="DP377" s="1546"/>
      <c r="DQ377" s="1546"/>
      <c r="DR377" s="1546"/>
      <c r="DS377" s="1546"/>
      <c r="DT377" s="1546"/>
      <c r="DU377" s="1546"/>
      <c r="DV377" s="1546"/>
      <c r="DW377" s="1546"/>
      <c r="DX377" s="1546"/>
      <c r="DY377" s="1546"/>
      <c r="DZ377" s="1546"/>
      <c r="EA377" s="1546"/>
      <c r="EB377" s="1546"/>
      <c r="EC377" s="1546"/>
      <c r="ED377" s="1546"/>
      <c r="EE377" s="1546"/>
      <c r="EF377" s="1546"/>
      <c r="EG377" s="1546"/>
      <c r="EH377" s="1546"/>
      <c r="EI377" s="1546"/>
      <c r="EJ377" s="1546"/>
      <c r="EK377" s="1546"/>
      <c r="EL377" s="1546"/>
      <c r="EM377" s="1546"/>
      <c r="EN377" s="1546"/>
      <c r="EO377" s="1546"/>
      <c r="EP377" s="1546"/>
      <c r="EQ377" s="1546"/>
      <c r="ER377" s="1546"/>
      <c r="ES377" s="1546"/>
      <c r="ET377" s="1546"/>
      <c r="EU377" s="1546"/>
      <c r="EV377" s="1546"/>
      <c r="EW377" s="1546"/>
      <c r="EX377" s="1546"/>
      <c r="EY377" s="1546"/>
      <c r="EZ377" s="1546"/>
      <c r="FA377" s="1546"/>
      <c r="FB377" s="1546"/>
      <c r="FC377" s="1546"/>
      <c r="FD377" s="1546"/>
      <c r="FE377" s="1546"/>
      <c r="FF377" s="1546"/>
      <c r="FG377" s="1546"/>
      <c r="FH377" s="1546"/>
      <c r="FI377" s="1546"/>
      <c r="FJ377" s="1546"/>
      <c r="FK377" s="1546"/>
      <c r="FL377" s="1546"/>
      <c r="FM377" s="1546"/>
      <c r="FN377" s="1546"/>
      <c r="FO377" s="1546"/>
      <c r="FP377" s="1546"/>
      <c r="FQ377" s="1546"/>
      <c r="FR377" s="1546"/>
      <c r="FS377" s="1546"/>
      <c r="FT377" s="1546"/>
      <c r="FU377" s="1546"/>
      <c r="FV377" s="1546"/>
      <c r="FW377" s="1546"/>
      <c r="FX377" s="1546"/>
      <c r="FY377" s="1546"/>
      <c r="FZ377" s="1546"/>
      <c r="GA377" s="1546"/>
      <c r="GB377" s="1546"/>
      <c r="GC377" s="1546"/>
      <c r="GD377" s="1546"/>
      <c r="GE377" s="1546"/>
      <c r="GF377" s="1546"/>
      <c r="GG377" s="1546"/>
      <c r="GH377" s="1546"/>
      <c r="GI377" s="1546"/>
      <c r="GJ377" s="1546"/>
      <c r="GK377" s="1546"/>
      <c r="GL377" s="1546"/>
      <c r="GM377" s="1546"/>
      <c r="GN377" s="1546"/>
      <c r="GO377" s="1546"/>
      <c r="GP377" s="1546"/>
      <c r="GQ377" s="1546"/>
      <c r="GR377" s="1546"/>
      <c r="GS377" s="1546"/>
      <c r="GT377" s="1546"/>
      <c r="GU377" s="1546"/>
      <c r="GV377" s="1546"/>
      <c r="GW377" s="1546"/>
      <c r="GX377" s="1546"/>
      <c r="GY377" s="1546"/>
      <c r="GZ377" s="1546"/>
      <c r="HA377" s="1546"/>
      <c r="HB377" s="1546"/>
      <c r="HC377" s="1546"/>
      <c r="HD377" s="1546"/>
      <c r="HE377" s="1546"/>
      <c r="HF377" s="1546"/>
      <c r="HG377" s="1546"/>
      <c r="HH377" s="1546"/>
      <c r="HI377" s="1546"/>
      <c r="HJ377" s="1546"/>
      <c r="HK377" s="1546"/>
      <c r="HL377" s="1546"/>
      <c r="HM377" s="1546"/>
      <c r="HN377" s="1546"/>
      <c r="HO377" s="1546"/>
      <c r="HP377" s="1546"/>
      <c r="HQ377" s="1546"/>
      <c r="HR377" s="1546"/>
      <c r="HS377" s="1546"/>
      <c r="HT377" s="1546"/>
      <c r="HU377" s="1546"/>
      <c r="HV377" s="1546"/>
      <c r="HW377" s="1546"/>
      <c r="HX377" s="1546"/>
      <c r="HY377" s="1546"/>
    </row>
    <row r="378" spans="1:233" s="1541" customFormat="1" ht="26.25" customHeight="1" x14ac:dyDescent="0.25">
      <c r="A378" s="5"/>
      <c r="B378" s="5"/>
      <c r="C378" s="5"/>
      <c r="D378" s="5"/>
      <c r="E378" s="6"/>
      <c r="F378" s="6"/>
      <c r="G378" s="1549"/>
      <c r="H378" s="1549"/>
      <c r="I378" s="1549"/>
      <c r="J378" s="1549"/>
      <c r="K378" s="1549"/>
      <c r="L378" s="1549"/>
      <c r="M378" s="1549"/>
      <c r="N378" s="1549"/>
      <c r="O378" s="1549"/>
      <c r="P378" s="1549"/>
      <c r="Q378" s="1549"/>
      <c r="R378" s="1549"/>
      <c r="S378" s="1549"/>
      <c r="T378" s="1549"/>
      <c r="U378" s="1549"/>
      <c r="V378" s="1549"/>
      <c r="W378" s="1549"/>
      <c r="X378" s="1549"/>
      <c r="Y378" s="1549"/>
      <c r="Z378" s="1549"/>
      <c r="AA378" s="1549"/>
      <c r="AB378" s="1549"/>
      <c r="AC378" s="1549"/>
      <c r="AD378" s="1549"/>
      <c r="AE378" s="1549"/>
      <c r="AF378" s="1549"/>
      <c r="AG378" s="1549"/>
      <c r="AH378" s="1549"/>
      <c r="AI378" s="1549"/>
      <c r="AJ378" s="1549"/>
      <c r="AK378" s="1549"/>
      <c r="AL378" s="1549"/>
      <c r="AM378" s="1549"/>
      <c r="AN378" s="1549"/>
      <c r="AO378" s="1549"/>
      <c r="AP378" s="1549"/>
      <c r="AQ378" s="1549"/>
      <c r="AR378" s="1549"/>
      <c r="AS378" s="1549"/>
      <c r="AT378" s="1549"/>
      <c r="AU378" s="1549"/>
      <c r="AV378" s="1549"/>
      <c r="AW378" s="1549"/>
      <c r="AX378" s="1549"/>
      <c r="AY378" s="1549"/>
      <c r="AZ378" s="1549"/>
      <c r="BA378" s="1549"/>
      <c r="BB378" s="1549"/>
      <c r="BC378" s="1549"/>
      <c r="BD378" s="1549"/>
      <c r="BE378" s="1549"/>
      <c r="BF378" s="1549"/>
      <c r="BG378" s="1549"/>
      <c r="BH378" s="1549"/>
      <c r="BI378" s="1549"/>
      <c r="BJ378" s="1549"/>
      <c r="BK378" s="1549"/>
      <c r="BL378" s="1549"/>
      <c r="BM378" s="1549"/>
      <c r="BN378" s="1549"/>
      <c r="BO378" s="1549"/>
      <c r="BP378" s="1549"/>
      <c r="BQ378" s="1549"/>
      <c r="BR378" s="1549"/>
      <c r="BS378" s="1549"/>
      <c r="BT378" s="1549"/>
      <c r="BU378" s="1549"/>
      <c r="BV378" s="1549"/>
      <c r="BW378" s="1549"/>
      <c r="BX378" s="1549"/>
      <c r="BY378" s="1549"/>
      <c r="BZ378" s="1549"/>
      <c r="CA378" s="1549"/>
      <c r="CB378" s="1549"/>
      <c r="CC378" s="1549"/>
      <c r="CD378" s="1549"/>
      <c r="CE378" s="1549"/>
      <c r="CF378" s="1549"/>
      <c r="CG378" s="1549"/>
      <c r="CH378" s="1549"/>
      <c r="CI378" s="1549"/>
      <c r="CJ378" s="1549"/>
      <c r="CK378" s="1549"/>
      <c r="CL378" s="1549"/>
      <c r="CM378" s="1549"/>
      <c r="CN378" s="1549"/>
      <c r="CO378" s="1549"/>
      <c r="CP378" s="1549"/>
      <c r="CQ378" s="1549"/>
      <c r="CR378" s="1549"/>
      <c r="CS378" s="1549"/>
      <c r="CT378" s="1549"/>
      <c r="CU378" s="1549"/>
      <c r="CV378" s="1549"/>
      <c r="CW378" s="1549"/>
      <c r="CX378" s="1549"/>
      <c r="CY378" s="1549"/>
      <c r="CZ378" s="1549"/>
      <c r="DA378" s="1549"/>
      <c r="DB378" s="1549"/>
      <c r="DC378" s="1549"/>
      <c r="DD378" s="1549"/>
      <c r="DE378" s="1549"/>
      <c r="DF378" s="1549"/>
      <c r="DG378" s="1549"/>
      <c r="DH378" s="1549"/>
      <c r="DI378" s="1549"/>
      <c r="DJ378" s="1549"/>
      <c r="DK378" s="1549"/>
      <c r="DL378" s="1549"/>
      <c r="DM378" s="1549"/>
      <c r="DN378" s="1549"/>
      <c r="DO378" s="1549"/>
      <c r="DP378" s="1549"/>
      <c r="DQ378" s="1549"/>
      <c r="DR378" s="1549"/>
      <c r="DS378" s="1549"/>
      <c r="DT378" s="1549"/>
      <c r="DU378" s="1549"/>
      <c r="DV378" s="1549"/>
      <c r="DW378" s="1549"/>
      <c r="DX378" s="1549"/>
      <c r="DY378" s="1549"/>
      <c r="DZ378" s="1549"/>
      <c r="EA378" s="1549"/>
      <c r="EB378" s="1549"/>
      <c r="EC378" s="1549"/>
      <c r="ED378" s="1549"/>
      <c r="EE378" s="1549"/>
      <c r="EF378" s="1549"/>
      <c r="EG378" s="1549"/>
      <c r="EH378" s="1549"/>
      <c r="EI378" s="1549"/>
      <c r="EJ378" s="1549"/>
      <c r="EK378" s="1549"/>
      <c r="EL378" s="1549"/>
      <c r="EM378" s="1549"/>
      <c r="EN378" s="1549"/>
      <c r="EO378" s="1549"/>
      <c r="EP378" s="1549"/>
      <c r="EQ378" s="1549"/>
      <c r="ER378" s="1549"/>
      <c r="ES378" s="1549"/>
      <c r="ET378" s="1549"/>
      <c r="EU378" s="1549"/>
      <c r="EV378" s="1549"/>
      <c r="EW378" s="1549"/>
      <c r="EX378" s="1549"/>
      <c r="EY378" s="1549"/>
      <c r="EZ378" s="1549"/>
      <c r="FA378" s="1549"/>
      <c r="FB378" s="1549"/>
      <c r="FC378" s="1549"/>
      <c r="FD378" s="1549"/>
      <c r="FE378" s="1549"/>
      <c r="FF378" s="1549"/>
      <c r="FG378" s="1549"/>
      <c r="FH378" s="1549"/>
      <c r="FI378" s="1549"/>
      <c r="FJ378" s="1549"/>
      <c r="FK378" s="1549"/>
      <c r="FL378" s="1549"/>
      <c r="FM378" s="1549"/>
      <c r="FN378" s="1549"/>
      <c r="FO378" s="1549"/>
      <c r="FP378" s="1549"/>
      <c r="FQ378" s="1549"/>
      <c r="FR378" s="1549"/>
      <c r="FS378" s="1549"/>
      <c r="FT378" s="1549"/>
      <c r="FU378" s="1549"/>
      <c r="FV378" s="1549"/>
      <c r="FW378" s="1549"/>
      <c r="FX378" s="1549"/>
      <c r="FY378" s="1549"/>
      <c r="FZ378" s="1549"/>
      <c r="GA378" s="1549"/>
      <c r="GB378" s="1549"/>
      <c r="GC378" s="1549"/>
      <c r="GD378" s="1549"/>
      <c r="GE378" s="1549"/>
      <c r="GF378" s="1549"/>
      <c r="GG378" s="1549"/>
      <c r="GH378" s="1549"/>
      <c r="GI378" s="1549"/>
      <c r="GJ378" s="1549"/>
      <c r="GK378" s="1549"/>
      <c r="GL378" s="1549"/>
      <c r="GM378" s="1549"/>
      <c r="GN378" s="1549"/>
      <c r="GO378" s="1549"/>
      <c r="GP378" s="1549"/>
      <c r="GQ378" s="1549"/>
      <c r="GR378" s="1549"/>
      <c r="GS378" s="1549"/>
      <c r="GT378" s="1549"/>
      <c r="GU378" s="1549"/>
      <c r="GV378" s="1549"/>
      <c r="GW378" s="1549"/>
      <c r="GX378" s="1549"/>
      <c r="GY378" s="1549"/>
      <c r="GZ378" s="1549"/>
      <c r="HA378" s="1549"/>
      <c r="HB378" s="1549"/>
      <c r="HC378" s="1549"/>
      <c r="HD378" s="1549"/>
      <c r="HE378" s="1549"/>
      <c r="HF378" s="1549"/>
      <c r="HG378" s="1549"/>
      <c r="HH378" s="1549"/>
      <c r="HI378" s="1549"/>
      <c r="HJ378" s="1549"/>
      <c r="HK378" s="1549"/>
      <c r="HL378" s="1549"/>
      <c r="HM378" s="1549"/>
      <c r="HN378" s="1549"/>
      <c r="HO378" s="1549"/>
      <c r="HP378" s="1549"/>
      <c r="HQ378" s="1549"/>
      <c r="HR378" s="1549"/>
      <c r="HS378" s="1549"/>
      <c r="HT378" s="1549"/>
      <c r="HU378" s="1549"/>
      <c r="HV378" s="1549"/>
      <c r="HW378" s="1549"/>
      <c r="HX378" s="1549"/>
      <c r="HY378" s="1549"/>
    </row>
    <row r="379" spans="1:233" s="1549" customFormat="1" ht="24" customHeight="1" x14ac:dyDescent="0.25">
      <c r="A379" s="5"/>
      <c r="B379" s="5"/>
      <c r="C379" s="5"/>
      <c r="D379" s="5"/>
      <c r="E379" s="6"/>
      <c r="F379" s="6"/>
    </row>
    <row r="380" spans="1:233" s="1546" customFormat="1" ht="12.75" customHeight="1" x14ac:dyDescent="0.25">
      <c r="A380" s="5"/>
      <c r="B380" s="5"/>
      <c r="C380" s="5"/>
      <c r="D380" s="5"/>
      <c r="E380" s="6"/>
      <c r="F380" s="6"/>
    </row>
    <row r="381" spans="1:233" s="1552" customFormat="1" ht="12.75" customHeight="1" x14ac:dyDescent="0.25">
      <c r="A381" s="5"/>
      <c r="B381" s="5"/>
      <c r="C381" s="5"/>
      <c r="D381" s="5"/>
      <c r="E381" s="6"/>
      <c r="F381" s="6"/>
    </row>
    <row r="382" spans="1:233" s="1546" customFormat="1" ht="40.5" customHeight="1" x14ac:dyDescent="0.25">
      <c r="A382" s="5"/>
      <c r="B382" s="5"/>
      <c r="C382" s="5"/>
      <c r="D382" s="5"/>
      <c r="E382" s="6"/>
      <c r="F382" s="6"/>
    </row>
    <row r="383" spans="1:233" s="1544" customFormat="1" x14ac:dyDescent="0.2">
      <c r="A383" s="5"/>
      <c r="B383" s="5"/>
      <c r="C383" s="5"/>
      <c r="D383" s="5"/>
      <c r="E383" s="6"/>
      <c r="F383" s="6"/>
      <c r="G383" s="1553"/>
      <c r="H383" s="1553"/>
      <c r="I383" s="1553"/>
      <c r="J383" s="1553"/>
      <c r="K383" s="1553"/>
      <c r="L383" s="1553"/>
      <c r="M383" s="1553"/>
      <c r="N383" s="1553"/>
      <c r="O383" s="1553"/>
      <c r="P383" s="1553"/>
      <c r="Q383" s="1553"/>
      <c r="R383" s="1553"/>
      <c r="S383" s="1553"/>
      <c r="T383" s="1553"/>
      <c r="U383" s="1553"/>
      <c r="V383" s="1553"/>
      <c r="W383" s="1553"/>
      <c r="X383" s="1553"/>
      <c r="Y383" s="1553"/>
      <c r="Z383" s="1553"/>
      <c r="AA383" s="1553"/>
      <c r="AB383" s="1553"/>
      <c r="AC383" s="1553"/>
      <c r="AD383" s="1553"/>
      <c r="AE383" s="1553"/>
      <c r="AF383" s="1553"/>
      <c r="AG383" s="1553"/>
      <c r="AH383" s="1553"/>
      <c r="AI383" s="1553"/>
      <c r="AJ383" s="1553"/>
      <c r="AK383" s="1553"/>
      <c r="AL383" s="1553"/>
      <c r="AM383" s="1553"/>
      <c r="AN383" s="1553"/>
      <c r="AO383" s="1553"/>
      <c r="AP383" s="1553"/>
      <c r="AQ383" s="1553"/>
      <c r="AR383" s="1553"/>
      <c r="AS383" s="1553"/>
      <c r="AT383" s="1553"/>
      <c r="AU383" s="1553"/>
      <c r="AV383" s="1553"/>
      <c r="AW383" s="1553"/>
      <c r="AX383" s="1553"/>
      <c r="AY383" s="1553"/>
      <c r="AZ383" s="1553"/>
      <c r="BA383" s="1553"/>
      <c r="BB383" s="1553"/>
      <c r="BC383" s="1553"/>
      <c r="BD383" s="1553"/>
      <c r="BE383" s="1553"/>
      <c r="BF383" s="1553"/>
      <c r="BG383" s="1553"/>
      <c r="BH383" s="1553"/>
      <c r="BI383" s="1553"/>
      <c r="BJ383" s="1553"/>
      <c r="BK383" s="1553"/>
      <c r="BL383" s="1553"/>
      <c r="BM383" s="1553"/>
      <c r="BN383" s="1553"/>
      <c r="BO383" s="1553"/>
      <c r="BP383" s="1553"/>
      <c r="BQ383" s="1553"/>
      <c r="BR383" s="1553"/>
      <c r="BS383" s="1553"/>
      <c r="BT383" s="1553"/>
      <c r="BU383" s="1553"/>
      <c r="BV383" s="1553"/>
      <c r="BW383" s="1553"/>
      <c r="BX383" s="1553"/>
      <c r="BY383" s="1553"/>
      <c r="BZ383" s="1553"/>
      <c r="CA383" s="1553"/>
      <c r="CB383" s="1553"/>
      <c r="CC383" s="1553"/>
      <c r="CD383" s="1553"/>
      <c r="CE383" s="1553"/>
      <c r="CF383" s="1553"/>
      <c r="CG383" s="1553"/>
      <c r="CH383" s="1553"/>
      <c r="CI383" s="1553"/>
      <c r="CJ383" s="1553"/>
      <c r="CK383" s="1553"/>
      <c r="CL383" s="1553"/>
      <c r="CM383" s="1553"/>
      <c r="CN383" s="1553"/>
      <c r="CO383" s="1553"/>
      <c r="CP383" s="1553"/>
      <c r="CQ383" s="1553"/>
      <c r="CR383" s="1553"/>
      <c r="CS383" s="1553"/>
      <c r="CT383" s="1553"/>
      <c r="CU383" s="1553"/>
      <c r="CV383" s="1553"/>
      <c r="CW383" s="1553"/>
      <c r="CX383" s="1553"/>
      <c r="CY383" s="1553"/>
      <c r="CZ383" s="1553"/>
      <c r="DA383" s="1553"/>
      <c r="DB383" s="1553"/>
      <c r="DC383" s="1553"/>
      <c r="DD383" s="1553"/>
      <c r="DE383" s="1553"/>
      <c r="DF383" s="1553"/>
      <c r="DG383" s="1553"/>
      <c r="DH383" s="1553"/>
      <c r="DI383" s="1553"/>
      <c r="DJ383" s="1553"/>
      <c r="DK383" s="1553"/>
      <c r="DL383" s="1553"/>
      <c r="DM383" s="1553"/>
      <c r="DN383" s="1553"/>
      <c r="DO383" s="1553"/>
      <c r="DP383" s="1553"/>
      <c r="DQ383" s="1553"/>
      <c r="DR383" s="1553"/>
      <c r="DS383" s="1553"/>
      <c r="DT383" s="1553"/>
      <c r="DU383" s="1553"/>
      <c r="DV383" s="1553"/>
      <c r="DW383" s="1553"/>
      <c r="DX383" s="1553"/>
      <c r="DY383" s="1553"/>
      <c r="DZ383" s="1553"/>
      <c r="EA383" s="1553"/>
      <c r="EB383" s="1553"/>
      <c r="EC383" s="1553"/>
      <c r="ED383" s="1553"/>
      <c r="EE383" s="1553"/>
      <c r="EF383" s="1553"/>
      <c r="EG383" s="1553"/>
      <c r="EH383" s="1553"/>
      <c r="EI383" s="1553"/>
      <c r="EJ383" s="1553"/>
      <c r="EK383" s="1553"/>
      <c r="EL383" s="1553"/>
      <c r="EM383" s="1553"/>
      <c r="EN383" s="1553"/>
      <c r="EO383" s="1553"/>
      <c r="EP383" s="1553"/>
      <c r="EQ383" s="1553"/>
      <c r="ER383" s="1553"/>
      <c r="ES383" s="1553"/>
      <c r="ET383" s="1553"/>
      <c r="EU383" s="1553"/>
      <c r="EV383" s="1553"/>
      <c r="EW383" s="1553"/>
      <c r="EX383" s="1553"/>
      <c r="EY383" s="1553"/>
      <c r="EZ383" s="1553"/>
      <c r="FA383" s="1553"/>
      <c r="FB383" s="1553"/>
      <c r="FC383" s="1553"/>
      <c r="FD383" s="1553"/>
      <c r="FE383" s="1553"/>
      <c r="FF383" s="1553"/>
      <c r="FG383" s="1553"/>
      <c r="FH383" s="1553"/>
      <c r="FI383" s="1553"/>
      <c r="FJ383" s="1553"/>
      <c r="FK383" s="1553"/>
      <c r="FL383" s="1553"/>
      <c r="FM383" s="1553"/>
      <c r="FN383" s="1553"/>
      <c r="FO383" s="1553"/>
      <c r="FP383" s="1553"/>
      <c r="FQ383" s="1553"/>
      <c r="FR383" s="1553"/>
      <c r="FS383" s="1553"/>
      <c r="FT383" s="1553"/>
      <c r="FU383" s="1553"/>
      <c r="FV383" s="1553"/>
      <c r="FW383" s="1553"/>
      <c r="FX383" s="1553"/>
      <c r="FY383" s="1553"/>
      <c r="FZ383" s="1553"/>
      <c r="GA383" s="1553"/>
      <c r="GB383" s="1553"/>
      <c r="GC383" s="1553"/>
      <c r="GD383" s="1553"/>
      <c r="GE383" s="1553"/>
      <c r="GF383" s="1553"/>
      <c r="GG383" s="1553"/>
      <c r="GH383" s="1553"/>
      <c r="GI383" s="1553"/>
      <c r="GJ383" s="1553"/>
      <c r="GK383" s="1553"/>
      <c r="GL383" s="1553"/>
      <c r="GM383" s="1553"/>
      <c r="GN383" s="1553"/>
      <c r="GO383" s="1553"/>
      <c r="GP383" s="1553"/>
      <c r="GQ383" s="1553"/>
      <c r="GR383" s="1553"/>
      <c r="GS383" s="1553"/>
      <c r="GT383" s="1553"/>
      <c r="GU383" s="1553"/>
      <c r="GV383" s="1553"/>
      <c r="GW383" s="1553"/>
      <c r="GX383" s="1553"/>
      <c r="GY383" s="1553"/>
      <c r="GZ383" s="1553"/>
      <c r="HA383" s="1553"/>
      <c r="HB383" s="1553"/>
      <c r="HC383" s="1553"/>
      <c r="HD383" s="1553"/>
      <c r="HE383" s="1553"/>
      <c r="HF383" s="1553"/>
      <c r="HG383" s="1553"/>
      <c r="HH383" s="1553"/>
      <c r="HI383" s="1553"/>
      <c r="HJ383" s="1553"/>
      <c r="HK383" s="1553"/>
      <c r="HL383" s="1553"/>
      <c r="HM383" s="1553"/>
      <c r="HN383" s="1553"/>
      <c r="HO383" s="1553"/>
      <c r="HP383" s="1553"/>
      <c r="HQ383" s="1553"/>
      <c r="HR383" s="1553"/>
      <c r="HS383" s="1553"/>
      <c r="HT383" s="1553"/>
      <c r="HU383" s="1553"/>
      <c r="HV383" s="1553"/>
      <c r="HW383" s="1553"/>
    </row>
    <row r="384" spans="1:233" s="1549" customFormat="1" ht="12.75" customHeight="1" x14ac:dyDescent="0.25">
      <c r="A384" s="5"/>
      <c r="B384" s="5"/>
      <c r="C384" s="5"/>
      <c r="D384" s="5"/>
      <c r="E384" s="6"/>
      <c r="F384" s="6"/>
    </row>
    <row r="385" spans="1:233" s="1549" customFormat="1" ht="12.75" customHeight="1" x14ac:dyDescent="0.25">
      <c r="A385" s="5"/>
      <c r="B385" s="5"/>
      <c r="C385" s="5"/>
      <c r="D385" s="5"/>
      <c r="E385" s="6"/>
      <c r="F385" s="6"/>
    </row>
    <row r="386" spans="1:233" s="1" customFormat="1" x14ac:dyDescent="0.2">
      <c r="A386" s="5"/>
      <c r="B386" s="5"/>
      <c r="C386" s="5"/>
      <c r="D386" s="5"/>
      <c r="E386" s="6"/>
      <c r="F386" s="6"/>
    </row>
    <row r="387" spans="1:233" s="1550" customFormat="1" ht="12.95" customHeight="1" x14ac:dyDescent="0.25">
      <c r="A387" s="5"/>
      <c r="B387" s="5"/>
      <c r="C387" s="5"/>
      <c r="D387" s="5"/>
      <c r="E387" s="6"/>
      <c r="F387" s="6"/>
      <c r="G387" s="1546"/>
      <c r="H387" s="1546"/>
      <c r="I387" s="1546"/>
      <c r="J387" s="1546"/>
      <c r="K387" s="1546"/>
      <c r="L387" s="1546"/>
      <c r="M387" s="1546"/>
      <c r="N387" s="1546"/>
      <c r="O387" s="1546"/>
      <c r="P387" s="1546"/>
      <c r="Q387" s="1546"/>
      <c r="R387" s="1546"/>
      <c r="S387" s="1546"/>
      <c r="T387" s="1546"/>
      <c r="U387" s="1546"/>
      <c r="V387" s="1546"/>
      <c r="W387" s="1546"/>
      <c r="X387" s="1546"/>
      <c r="Y387" s="1546"/>
      <c r="Z387" s="1546"/>
      <c r="AA387" s="1546"/>
      <c r="AB387" s="1546"/>
      <c r="AC387" s="1546"/>
      <c r="AD387" s="1546"/>
      <c r="AE387" s="1546"/>
      <c r="AF387" s="1546"/>
      <c r="AG387" s="1546"/>
      <c r="AH387" s="1546"/>
      <c r="AI387" s="1546"/>
      <c r="AJ387" s="1546"/>
      <c r="AK387" s="1546"/>
      <c r="AL387" s="1546"/>
      <c r="AM387" s="1546"/>
      <c r="AN387" s="1546"/>
      <c r="AO387" s="1546"/>
      <c r="AP387" s="1546"/>
      <c r="AQ387" s="1546"/>
      <c r="AR387" s="1546"/>
      <c r="AS387" s="1546"/>
      <c r="AT387" s="1546"/>
      <c r="AU387" s="1546"/>
      <c r="AV387" s="1546"/>
      <c r="AW387" s="1546"/>
      <c r="AX387" s="1546"/>
      <c r="AY387" s="1546"/>
      <c r="AZ387" s="1546"/>
      <c r="BA387" s="1546"/>
      <c r="BB387" s="1546"/>
      <c r="BC387" s="1546"/>
      <c r="BD387" s="1546"/>
      <c r="BE387" s="1546"/>
      <c r="BF387" s="1546"/>
      <c r="BG387" s="1546"/>
      <c r="BH387" s="1546"/>
      <c r="BI387" s="1546"/>
      <c r="BJ387" s="1546"/>
      <c r="BK387" s="1546"/>
      <c r="BL387" s="1546"/>
      <c r="BM387" s="1546"/>
      <c r="BN387" s="1546"/>
      <c r="BO387" s="1546"/>
      <c r="BP387" s="1546"/>
      <c r="BQ387" s="1546"/>
      <c r="BR387" s="1546"/>
      <c r="BS387" s="1546"/>
      <c r="BT387" s="1546"/>
      <c r="BU387" s="1546"/>
      <c r="BV387" s="1546"/>
      <c r="BW387" s="1546"/>
      <c r="BX387" s="1546"/>
      <c r="BY387" s="1546"/>
      <c r="BZ387" s="1546"/>
      <c r="CA387" s="1546"/>
      <c r="CB387" s="1546"/>
      <c r="CC387" s="1546"/>
      <c r="CD387" s="1546"/>
      <c r="CE387" s="1546"/>
      <c r="CF387" s="1546"/>
      <c r="CG387" s="1546"/>
      <c r="CH387" s="1546"/>
      <c r="CI387" s="1546"/>
      <c r="CJ387" s="1546"/>
      <c r="CK387" s="1546"/>
      <c r="CL387" s="1546"/>
      <c r="CM387" s="1546"/>
      <c r="CN387" s="1546"/>
      <c r="CO387" s="1546"/>
      <c r="CP387" s="1546"/>
      <c r="CQ387" s="1546"/>
      <c r="CR387" s="1546"/>
      <c r="CS387" s="1546"/>
      <c r="CT387" s="1546"/>
      <c r="CU387" s="1546"/>
      <c r="CV387" s="1546"/>
      <c r="CW387" s="1546"/>
      <c r="CX387" s="1546"/>
      <c r="CY387" s="1546"/>
      <c r="CZ387" s="1546"/>
      <c r="DA387" s="1546"/>
      <c r="DB387" s="1546"/>
      <c r="DC387" s="1546"/>
      <c r="DD387" s="1546"/>
      <c r="DE387" s="1546"/>
      <c r="DF387" s="1546"/>
      <c r="DG387" s="1546"/>
      <c r="DH387" s="1546"/>
      <c r="DI387" s="1546"/>
      <c r="DJ387" s="1546"/>
      <c r="DK387" s="1546"/>
      <c r="DL387" s="1546"/>
      <c r="DM387" s="1546"/>
      <c r="DN387" s="1546"/>
      <c r="DO387" s="1546"/>
      <c r="DP387" s="1546"/>
      <c r="DQ387" s="1546"/>
      <c r="DR387" s="1546"/>
      <c r="DS387" s="1546"/>
      <c r="DT387" s="1546"/>
      <c r="DU387" s="1546"/>
      <c r="DV387" s="1546"/>
      <c r="DW387" s="1546"/>
      <c r="DX387" s="1546"/>
      <c r="DY387" s="1546"/>
      <c r="DZ387" s="1546"/>
      <c r="EA387" s="1546"/>
      <c r="EB387" s="1546"/>
      <c r="EC387" s="1546"/>
      <c r="ED387" s="1546"/>
      <c r="EE387" s="1546"/>
      <c r="EF387" s="1546"/>
      <c r="EG387" s="1546"/>
      <c r="EH387" s="1546"/>
      <c r="EI387" s="1546"/>
      <c r="EJ387" s="1546"/>
      <c r="EK387" s="1546"/>
      <c r="EL387" s="1546"/>
      <c r="EM387" s="1546"/>
      <c r="EN387" s="1546"/>
      <c r="EO387" s="1546"/>
      <c r="EP387" s="1546"/>
      <c r="EQ387" s="1546"/>
      <c r="ER387" s="1546"/>
      <c r="ES387" s="1546"/>
      <c r="ET387" s="1546"/>
      <c r="EU387" s="1546"/>
      <c r="EV387" s="1546"/>
      <c r="EW387" s="1546"/>
      <c r="EX387" s="1546"/>
      <c r="EY387" s="1546"/>
      <c r="EZ387" s="1546"/>
      <c r="FA387" s="1546"/>
      <c r="FB387" s="1546"/>
      <c r="FC387" s="1546"/>
      <c r="FD387" s="1546"/>
      <c r="FE387" s="1546"/>
      <c r="FF387" s="1546"/>
      <c r="FG387" s="1546"/>
      <c r="FH387" s="1546"/>
      <c r="FI387" s="1546"/>
      <c r="FJ387" s="1546"/>
      <c r="FK387" s="1546"/>
      <c r="FL387" s="1546"/>
      <c r="FM387" s="1546"/>
      <c r="FN387" s="1546"/>
      <c r="FO387" s="1546"/>
      <c r="FP387" s="1546"/>
      <c r="FQ387" s="1546"/>
      <c r="FR387" s="1546"/>
      <c r="FS387" s="1546"/>
      <c r="FT387" s="1546"/>
      <c r="FU387" s="1546"/>
      <c r="FV387" s="1546"/>
      <c r="FW387" s="1546"/>
      <c r="FX387" s="1546"/>
      <c r="FY387" s="1546"/>
      <c r="FZ387" s="1546"/>
      <c r="GA387" s="1546"/>
      <c r="GB387" s="1546"/>
      <c r="GC387" s="1546"/>
      <c r="GD387" s="1546"/>
      <c r="GE387" s="1546"/>
      <c r="GF387" s="1546"/>
      <c r="GG387" s="1546"/>
      <c r="GH387" s="1546"/>
      <c r="GI387" s="1546"/>
      <c r="GJ387" s="1546"/>
      <c r="GK387" s="1546"/>
      <c r="GL387" s="1546"/>
      <c r="GM387" s="1546"/>
      <c r="GN387" s="1546"/>
      <c r="GO387" s="1546"/>
      <c r="GP387" s="1546"/>
      <c r="GQ387" s="1546"/>
      <c r="GR387" s="1546"/>
      <c r="GS387" s="1546"/>
      <c r="GT387" s="1546"/>
      <c r="GU387" s="1546"/>
      <c r="GV387" s="1546"/>
      <c r="GW387" s="1546"/>
      <c r="GX387" s="1546"/>
      <c r="GY387" s="1546"/>
      <c r="GZ387" s="1546"/>
      <c r="HA387" s="1546"/>
      <c r="HB387" s="1546"/>
      <c r="HC387" s="1546"/>
      <c r="HD387" s="1546"/>
      <c r="HE387" s="1546"/>
      <c r="HF387" s="1546"/>
      <c r="HG387" s="1546"/>
      <c r="HH387" s="1546"/>
      <c r="HI387" s="1546"/>
      <c r="HJ387" s="1546"/>
      <c r="HK387" s="1546"/>
      <c r="HL387" s="1546"/>
      <c r="HM387" s="1546"/>
      <c r="HN387" s="1546"/>
      <c r="HO387" s="1546"/>
      <c r="HP387" s="1546"/>
      <c r="HQ387" s="1546"/>
      <c r="HR387" s="1546"/>
      <c r="HS387" s="1546"/>
      <c r="HT387" s="1546"/>
      <c r="HU387" s="1546"/>
      <c r="HV387" s="1546"/>
      <c r="HW387" s="1546"/>
      <c r="HX387" s="1546"/>
      <c r="HY387" s="1546"/>
    </row>
    <row r="388" spans="1:233" s="1" customFormat="1" x14ac:dyDescent="0.2">
      <c r="A388" s="5"/>
      <c r="B388" s="5"/>
      <c r="C388" s="5"/>
      <c r="D388" s="5"/>
      <c r="E388" s="6"/>
      <c r="F388" s="6"/>
    </row>
    <row r="389" spans="1:233" s="1" customFormat="1" x14ac:dyDescent="0.2">
      <c r="A389" s="5"/>
      <c r="B389" s="5"/>
      <c r="C389" s="5"/>
      <c r="D389" s="5"/>
      <c r="E389" s="6"/>
      <c r="F389" s="6"/>
    </row>
    <row r="390" spans="1:233" s="1" customFormat="1" x14ac:dyDescent="0.2">
      <c r="A390" s="5"/>
      <c r="B390" s="5"/>
      <c r="C390" s="5"/>
      <c r="D390" s="5"/>
      <c r="E390" s="6"/>
      <c r="F390" s="6"/>
    </row>
    <row r="391" spans="1:233" s="1" customFormat="1" x14ac:dyDescent="0.2">
      <c r="A391" s="5"/>
      <c r="B391" s="5"/>
      <c r="C391" s="5"/>
      <c r="D391" s="5"/>
      <c r="E391" s="6"/>
      <c r="F391" s="6"/>
    </row>
    <row r="392" spans="1:233" s="1" customFormat="1" x14ac:dyDescent="0.2">
      <c r="A392" s="5"/>
      <c r="B392" s="5"/>
      <c r="C392" s="5"/>
      <c r="D392" s="5"/>
      <c r="E392" s="6"/>
      <c r="F392" s="6"/>
    </row>
    <row r="393" spans="1:233" s="1" customFormat="1" x14ac:dyDescent="0.2">
      <c r="A393" s="5"/>
      <c r="B393" s="5"/>
      <c r="C393" s="5"/>
      <c r="D393" s="5"/>
      <c r="E393" s="6"/>
      <c r="F393" s="6"/>
    </row>
    <row r="394" spans="1:233" s="1" customFormat="1" x14ac:dyDescent="0.2">
      <c r="A394" s="5"/>
      <c r="B394" s="5"/>
      <c r="C394" s="5"/>
      <c r="D394" s="5"/>
      <c r="E394" s="6"/>
      <c r="F394" s="6"/>
    </row>
    <row r="395" spans="1:233" s="1" customFormat="1" x14ac:dyDescent="0.2">
      <c r="A395" s="5"/>
      <c r="B395" s="5"/>
      <c r="C395" s="5"/>
      <c r="D395" s="5"/>
      <c r="E395" s="6"/>
      <c r="F395" s="6"/>
    </row>
    <row r="396" spans="1:233" s="1" customFormat="1" x14ac:dyDescent="0.2">
      <c r="A396" s="5"/>
      <c r="B396" s="5"/>
      <c r="C396" s="5"/>
      <c r="D396" s="5"/>
      <c r="E396" s="6"/>
      <c r="F396" s="6"/>
    </row>
    <row r="397" spans="1:233" s="1" customFormat="1" x14ac:dyDescent="0.2">
      <c r="A397" s="5"/>
      <c r="B397" s="5"/>
      <c r="C397" s="5"/>
      <c r="D397" s="5"/>
      <c r="E397" s="6"/>
      <c r="F397" s="6"/>
    </row>
    <row r="398" spans="1:233" s="934" customFormat="1" x14ac:dyDescent="0.2">
      <c r="A398" s="5"/>
      <c r="B398" s="5"/>
      <c r="C398" s="5"/>
      <c r="D398" s="5"/>
      <c r="E398" s="6"/>
      <c r="F398" s="6"/>
    </row>
    <row r="399" spans="1:233" s="934" customFormat="1" x14ac:dyDescent="0.2">
      <c r="A399" s="5"/>
      <c r="B399" s="5"/>
      <c r="C399" s="5"/>
      <c r="D399" s="5"/>
      <c r="E399" s="6"/>
      <c r="F399" s="6"/>
    </row>
    <row r="400" spans="1:233" s="934" customFormat="1" x14ac:dyDescent="0.2">
      <c r="A400" s="5"/>
      <c r="B400" s="5"/>
      <c r="C400" s="5"/>
      <c r="D400" s="5"/>
      <c r="E400" s="6"/>
      <c r="F400" s="6"/>
    </row>
    <row r="401" spans="1:6" s="934" customFormat="1" x14ac:dyDescent="0.2">
      <c r="A401" s="5"/>
      <c r="B401" s="5"/>
      <c r="C401" s="5"/>
      <c r="D401" s="5"/>
      <c r="E401" s="6"/>
      <c r="F401" s="6"/>
    </row>
    <row r="402" spans="1:6" s="934" customFormat="1" x14ac:dyDescent="0.2">
      <c r="A402" s="5"/>
      <c r="B402" s="5"/>
      <c r="C402" s="5"/>
      <c r="D402" s="5"/>
      <c r="E402" s="6"/>
      <c r="F402" s="6"/>
    </row>
    <row r="403" spans="1:6" s="934" customFormat="1" x14ac:dyDescent="0.2">
      <c r="A403" s="5"/>
      <c r="B403" s="5"/>
      <c r="C403" s="5"/>
      <c r="D403" s="5"/>
      <c r="E403" s="6"/>
      <c r="F403" s="6"/>
    </row>
    <row r="404" spans="1:6" s="934" customFormat="1" x14ac:dyDescent="0.2">
      <c r="A404" s="5"/>
      <c r="B404" s="5"/>
      <c r="C404" s="5"/>
      <c r="D404" s="5"/>
      <c r="E404" s="6"/>
      <c r="F404" s="6"/>
    </row>
    <row r="405" spans="1:6" s="934" customFormat="1" x14ac:dyDescent="0.2">
      <c r="A405" s="5"/>
      <c r="B405" s="5"/>
      <c r="C405" s="5"/>
      <c r="D405" s="5"/>
      <c r="E405" s="6"/>
      <c r="F405" s="6"/>
    </row>
    <row r="406" spans="1:6" s="934" customFormat="1" x14ac:dyDescent="0.2">
      <c r="A406" s="5"/>
      <c r="B406" s="5"/>
      <c r="C406" s="5"/>
      <c r="D406" s="5"/>
      <c r="E406" s="6"/>
      <c r="F406" s="6"/>
    </row>
    <row r="407" spans="1:6" s="934" customFormat="1" x14ac:dyDescent="0.2">
      <c r="A407" s="5"/>
      <c r="B407" s="5"/>
      <c r="C407" s="5"/>
      <c r="D407" s="5"/>
      <c r="E407" s="6"/>
      <c r="F407" s="6"/>
    </row>
    <row r="408" spans="1:6" s="934" customFormat="1" x14ac:dyDescent="0.2">
      <c r="A408" s="5"/>
      <c r="B408" s="5"/>
      <c r="C408" s="5"/>
      <c r="D408" s="5"/>
      <c r="E408" s="6"/>
      <c r="F408" s="6"/>
    </row>
    <row r="409" spans="1:6" s="1" customFormat="1" x14ac:dyDescent="0.2">
      <c r="A409" s="5"/>
      <c r="B409" s="5"/>
      <c r="C409" s="5"/>
      <c r="D409" s="5"/>
      <c r="E409" s="6"/>
      <c r="F409" s="6"/>
    </row>
    <row r="410" spans="1:6" s="1" customFormat="1" x14ac:dyDescent="0.2">
      <c r="A410" s="5"/>
      <c r="B410" s="5"/>
      <c r="C410" s="5"/>
      <c r="D410" s="5"/>
      <c r="E410" s="6"/>
      <c r="F410" s="6"/>
    </row>
    <row r="411" spans="1:6" s="1" customFormat="1" x14ac:dyDescent="0.2">
      <c r="A411" s="5"/>
      <c r="B411" s="5"/>
      <c r="C411" s="5"/>
      <c r="D411" s="5"/>
      <c r="E411" s="6"/>
      <c r="F411" s="6"/>
    </row>
    <row r="412" spans="1:6" s="1" customFormat="1" ht="18" customHeight="1" x14ac:dyDescent="0.2">
      <c r="A412" s="5"/>
      <c r="B412" s="5"/>
      <c r="C412" s="5"/>
      <c r="D412" s="5"/>
      <c r="E412" s="6"/>
      <c r="F412" s="6"/>
    </row>
    <row r="413" spans="1:6" s="1" customFormat="1" x14ac:dyDescent="0.2">
      <c r="A413" s="5"/>
      <c r="B413" s="5"/>
      <c r="C413" s="5"/>
      <c r="D413" s="5"/>
      <c r="E413" s="6"/>
      <c r="F413" s="6"/>
    </row>
    <row r="414" spans="1:6" s="1" customFormat="1" x14ac:dyDescent="0.2">
      <c r="A414" s="5"/>
      <c r="B414" s="5"/>
      <c r="C414" s="5"/>
      <c r="D414" s="5"/>
      <c r="E414" s="6"/>
      <c r="F414" s="6"/>
    </row>
    <row r="415" spans="1:6" s="1" customFormat="1" x14ac:dyDescent="0.2">
      <c r="A415" s="5"/>
      <c r="B415" s="5"/>
      <c r="C415" s="5"/>
      <c r="D415" s="5"/>
      <c r="E415" s="6"/>
      <c r="F415" s="6"/>
    </row>
    <row r="416" spans="1:6" s="1" customFormat="1" x14ac:dyDescent="0.2">
      <c r="A416" s="5"/>
      <c r="B416" s="5"/>
      <c r="C416" s="5"/>
      <c r="D416" s="5"/>
      <c r="E416" s="6"/>
      <c r="F416" s="6"/>
    </row>
    <row r="417" spans="1:6" s="1" customFormat="1" x14ac:dyDescent="0.2">
      <c r="A417" s="5"/>
      <c r="B417" s="5"/>
      <c r="C417" s="5"/>
      <c r="D417" s="5"/>
      <c r="E417" s="6"/>
      <c r="F417" s="6"/>
    </row>
    <row r="418" spans="1:6" s="1" customFormat="1" x14ac:dyDescent="0.2">
      <c r="A418" s="5"/>
      <c r="B418" s="5"/>
      <c r="C418" s="5"/>
      <c r="D418" s="5"/>
      <c r="E418" s="6"/>
      <c r="F418" s="6"/>
    </row>
    <row r="419" spans="1:6" s="1" customFormat="1" x14ac:dyDescent="0.2">
      <c r="A419" s="5"/>
      <c r="B419" s="5"/>
      <c r="C419" s="5"/>
      <c r="D419" s="5"/>
      <c r="E419" s="6"/>
      <c r="F419" s="6"/>
    </row>
    <row r="420" spans="1:6" s="1" customFormat="1" x14ac:dyDescent="0.2">
      <c r="A420" s="5"/>
      <c r="B420" s="5"/>
      <c r="C420" s="5"/>
      <c r="D420" s="5"/>
      <c r="E420" s="6"/>
      <c r="F420" s="6"/>
    </row>
    <row r="421" spans="1:6" s="1" customFormat="1" x14ac:dyDescent="0.2">
      <c r="A421" s="5"/>
      <c r="B421" s="5"/>
      <c r="C421" s="5"/>
      <c r="D421" s="5"/>
      <c r="E421" s="6"/>
      <c r="F421" s="6"/>
    </row>
    <row r="422" spans="1:6" s="1" customFormat="1" x14ac:dyDescent="0.2">
      <c r="A422" s="5"/>
      <c r="B422" s="5"/>
      <c r="C422" s="5"/>
      <c r="D422" s="5"/>
      <c r="E422" s="6"/>
      <c r="F422" s="6"/>
    </row>
    <row r="423" spans="1:6" s="1" customFormat="1" ht="12" customHeight="1" x14ac:dyDescent="0.2">
      <c r="A423" s="5"/>
      <c r="B423" s="5"/>
      <c r="C423" s="5"/>
      <c r="D423" s="5"/>
      <c r="E423" s="6"/>
      <c r="F423" s="6"/>
    </row>
    <row r="424" spans="1:6" s="1" customFormat="1" x14ac:dyDescent="0.2">
      <c r="A424" s="5"/>
      <c r="B424" s="5"/>
      <c r="C424" s="5"/>
      <c r="D424" s="5"/>
      <c r="E424" s="6"/>
      <c r="F424" s="6"/>
    </row>
    <row r="425" spans="1:6" s="1" customFormat="1" x14ac:dyDescent="0.2">
      <c r="A425" s="5"/>
      <c r="B425" s="5"/>
      <c r="C425" s="5"/>
      <c r="D425" s="5"/>
      <c r="E425" s="6"/>
      <c r="F425" s="6"/>
    </row>
    <row r="426" spans="1:6" s="1" customFormat="1" x14ac:dyDescent="0.2">
      <c r="A426" s="5"/>
      <c r="B426" s="5"/>
      <c r="C426" s="5"/>
      <c r="D426" s="5"/>
      <c r="E426" s="6"/>
      <c r="F426" s="6"/>
    </row>
    <row r="427" spans="1:6" s="1" customFormat="1" x14ac:dyDescent="0.2">
      <c r="A427" s="5"/>
      <c r="B427" s="5"/>
      <c r="C427" s="5"/>
      <c r="D427" s="5"/>
      <c r="E427" s="6"/>
      <c r="F427" s="6"/>
    </row>
    <row r="428" spans="1:6" s="1" customFormat="1" x14ac:dyDescent="0.2">
      <c r="A428" s="5"/>
      <c r="B428" s="5"/>
      <c r="C428" s="5"/>
      <c r="D428" s="5"/>
      <c r="E428" s="6"/>
      <c r="F428" s="6"/>
    </row>
    <row r="429" spans="1:6" s="1" customFormat="1" x14ac:dyDescent="0.2">
      <c r="A429" s="5"/>
      <c r="B429" s="5"/>
      <c r="C429" s="5"/>
      <c r="D429" s="5"/>
      <c r="E429" s="6"/>
      <c r="F429" s="6"/>
    </row>
    <row r="430" spans="1:6" s="1" customFormat="1" x14ac:dyDescent="0.2">
      <c r="A430" s="5"/>
      <c r="B430" s="5"/>
      <c r="C430" s="5"/>
      <c r="D430" s="5"/>
      <c r="E430" s="6"/>
      <c r="F430" s="6"/>
    </row>
    <row r="431" spans="1:6" s="1" customFormat="1" x14ac:dyDescent="0.2">
      <c r="A431" s="5"/>
      <c r="B431" s="5"/>
      <c r="C431" s="5"/>
      <c r="D431" s="5"/>
      <c r="E431" s="6"/>
      <c r="F431" s="6"/>
    </row>
    <row r="432" spans="1:6" s="1" customFormat="1" x14ac:dyDescent="0.2">
      <c r="A432" s="5"/>
      <c r="B432" s="5"/>
      <c r="C432" s="5"/>
      <c r="D432" s="5"/>
      <c r="E432" s="6"/>
      <c r="F432" s="6"/>
    </row>
    <row r="433" spans="1:6" s="1" customFormat="1" x14ac:dyDescent="0.2">
      <c r="A433" s="5"/>
      <c r="B433" s="5"/>
      <c r="C433" s="5"/>
      <c r="D433" s="5"/>
      <c r="E433" s="6"/>
      <c r="F433" s="6"/>
    </row>
    <row r="434" spans="1:6" s="1" customFormat="1" ht="14.25" customHeight="1" x14ac:dyDescent="0.2">
      <c r="A434" s="5"/>
      <c r="B434" s="5"/>
      <c r="C434" s="5"/>
      <c r="D434" s="5"/>
      <c r="E434" s="6"/>
      <c r="F434" s="6"/>
    </row>
    <row r="435" spans="1:6" s="1" customFormat="1" ht="14.25" customHeight="1" x14ac:dyDescent="0.2">
      <c r="A435" s="5"/>
      <c r="B435" s="5"/>
      <c r="C435" s="5"/>
      <c r="D435" s="5"/>
      <c r="E435" s="6"/>
      <c r="F435" s="6"/>
    </row>
    <row r="436" spans="1:6" s="59" customFormat="1" ht="14.25" customHeight="1" x14ac:dyDescent="0.2">
      <c r="A436" s="5"/>
      <c r="B436" s="5"/>
      <c r="C436" s="5"/>
      <c r="D436" s="5"/>
      <c r="E436" s="6"/>
      <c r="F436" s="6"/>
    </row>
    <row r="437" spans="1:6" s="66" customFormat="1" ht="14.25" customHeight="1" x14ac:dyDescent="0.2">
      <c r="A437" s="5"/>
      <c r="B437" s="5"/>
      <c r="C437" s="5"/>
      <c r="D437" s="5"/>
      <c r="E437" s="6"/>
      <c r="F437" s="6"/>
    </row>
    <row r="438" spans="1:6" s="66" customFormat="1" ht="24" customHeight="1" x14ac:dyDescent="0.2">
      <c r="A438" s="5"/>
      <c r="B438" s="5"/>
      <c r="C438" s="5"/>
      <c r="D438" s="5"/>
      <c r="E438" s="6"/>
      <c r="F438" s="6"/>
    </row>
    <row r="439" spans="1:6" s="66" customFormat="1" ht="14.25" customHeight="1" x14ac:dyDescent="0.2">
      <c r="A439" s="5"/>
      <c r="B439" s="5"/>
      <c r="C439" s="5"/>
      <c r="D439" s="5"/>
      <c r="E439" s="6"/>
      <c r="F439" s="6"/>
    </row>
    <row r="440" spans="1:6" s="66" customFormat="1" ht="14.25" customHeight="1" x14ac:dyDescent="0.2">
      <c r="A440" s="5"/>
      <c r="B440" s="5"/>
      <c r="C440" s="5"/>
      <c r="D440" s="5"/>
      <c r="E440" s="6"/>
      <c r="F440" s="6"/>
    </row>
    <row r="441" spans="1:6" s="66" customFormat="1" x14ac:dyDescent="0.2">
      <c r="A441" s="5"/>
      <c r="B441" s="5"/>
      <c r="C441" s="5"/>
      <c r="D441" s="5"/>
      <c r="E441" s="6"/>
      <c r="F441" s="6"/>
    </row>
    <row r="442" spans="1:6" s="66" customFormat="1" ht="6.75" customHeight="1" x14ac:dyDescent="0.2">
      <c r="A442" s="5"/>
      <c r="B442" s="5"/>
      <c r="C442" s="5"/>
      <c r="D442" s="5"/>
      <c r="E442" s="6"/>
      <c r="F442" s="6"/>
    </row>
    <row r="443" spans="1:6" s="66" customFormat="1" x14ac:dyDescent="0.2">
      <c r="A443" s="5"/>
      <c r="B443" s="5"/>
      <c r="C443" s="5"/>
      <c r="D443" s="5"/>
      <c r="E443" s="6"/>
      <c r="F443" s="6"/>
    </row>
    <row r="444" spans="1:6" s="66" customFormat="1" ht="8.25" customHeight="1" x14ac:dyDescent="0.2">
      <c r="A444" s="5"/>
      <c r="B444" s="5"/>
      <c r="C444" s="5"/>
      <c r="D444" s="5"/>
      <c r="E444" s="6"/>
      <c r="F444" s="6"/>
    </row>
    <row r="445" spans="1:6" s="66" customFormat="1" x14ac:dyDescent="0.2">
      <c r="A445" s="5"/>
      <c r="B445" s="5"/>
      <c r="C445" s="5"/>
      <c r="D445" s="5"/>
      <c r="E445" s="6"/>
      <c r="F445" s="6"/>
    </row>
    <row r="446" spans="1:6" s="66" customFormat="1" ht="11.25" customHeight="1" x14ac:dyDescent="0.2">
      <c r="A446" s="5"/>
      <c r="B446" s="5"/>
      <c r="C446" s="5"/>
      <c r="D446" s="5"/>
      <c r="E446" s="6"/>
      <c r="F446" s="6"/>
    </row>
    <row r="447" spans="1:6" s="66" customFormat="1" ht="11.25" customHeight="1" x14ac:dyDescent="0.2">
      <c r="A447" s="5"/>
      <c r="B447" s="5"/>
      <c r="C447" s="5"/>
      <c r="D447" s="5"/>
      <c r="E447" s="6"/>
      <c r="F447" s="6"/>
    </row>
    <row r="448" spans="1:6" s="66" customFormat="1" ht="11.25" customHeight="1" x14ac:dyDescent="0.2">
      <c r="A448" s="5"/>
      <c r="B448" s="5"/>
      <c r="C448" s="5"/>
      <c r="D448" s="5"/>
      <c r="E448" s="6"/>
      <c r="F448" s="6"/>
    </row>
    <row r="449" spans="1:6" s="66" customFormat="1" ht="13.5" customHeight="1" x14ac:dyDescent="0.2">
      <c r="A449" s="5"/>
      <c r="B449" s="5"/>
      <c r="C449" s="5"/>
      <c r="D449" s="5"/>
      <c r="E449" s="6"/>
      <c r="F449" s="6"/>
    </row>
    <row r="450" spans="1:6" s="66" customFormat="1" ht="13.5" customHeight="1" x14ac:dyDescent="0.2">
      <c r="A450" s="5"/>
      <c r="B450" s="5"/>
      <c r="C450" s="5"/>
      <c r="D450" s="5"/>
      <c r="E450" s="6"/>
      <c r="F450" s="6"/>
    </row>
    <row r="451" spans="1:6" s="66" customFormat="1" ht="13.5" customHeight="1" x14ac:dyDescent="0.2">
      <c r="A451" s="5"/>
      <c r="B451" s="5"/>
      <c r="C451" s="5"/>
      <c r="D451" s="5"/>
      <c r="E451" s="6"/>
      <c r="F451" s="6"/>
    </row>
    <row r="452" spans="1:6" s="66" customFormat="1" ht="13.5" customHeight="1" x14ac:dyDescent="0.2">
      <c r="A452" s="5"/>
      <c r="B452" s="5"/>
      <c r="C452" s="5"/>
      <c r="D452" s="5"/>
      <c r="E452" s="6"/>
      <c r="F452" s="6"/>
    </row>
    <row r="453" spans="1:6" s="66" customFormat="1" ht="13.5" customHeight="1" x14ac:dyDescent="0.2">
      <c r="A453" s="5"/>
      <c r="B453" s="5"/>
      <c r="C453" s="5"/>
      <c r="D453" s="5"/>
      <c r="E453" s="6"/>
      <c r="F453" s="6"/>
    </row>
    <row r="454" spans="1:6" s="66" customFormat="1" ht="12" customHeight="1" x14ac:dyDescent="0.2">
      <c r="A454" s="5"/>
      <c r="B454" s="5"/>
      <c r="C454" s="5"/>
      <c r="D454" s="5"/>
      <c r="E454" s="6"/>
      <c r="F454" s="6"/>
    </row>
    <row r="455" spans="1:6" s="66" customFormat="1" ht="12" customHeight="1" x14ac:dyDescent="0.2">
      <c r="A455" s="5"/>
      <c r="B455" s="5"/>
      <c r="C455" s="5"/>
      <c r="D455" s="5"/>
      <c r="E455" s="6"/>
      <c r="F455" s="6"/>
    </row>
    <row r="456" spans="1:6" s="66" customFormat="1" ht="12" customHeight="1" x14ac:dyDescent="0.2">
      <c r="A456" s="5"/>
      <c r="B456" s="5"/>
      <c r="C456" s="5"/>
      <c r="D456" s="5"/>
      <c r="E456" s="6"/>
      <c r="F456" s="6"/>
    </row>
    <row r="457" spans="1:6" s="66" customFormat="1" ht="12" customHeight="1" x14ac:dyDescent="0.2">
      <c r="A457" s="5"/>
      <c r="B457" s="5"/>
      <c r="C457" s="5"/>
      <c r="D457" s="5"/>
      <c r="E457" s="6"/>
      <c r="F457" s="6"/>
    </row>
    <row r="458" spans="1:6" s="66" customFormat="1" ht="12" customHeight="1" x14ac:dyDescent="0.2">
      <c r="A458" s="5"/>
      <c r="B458" s="5"/>
      <c r="C458" s="5"/>
      <c r="D458" s="5"/>
      <c r="E458" s="6"/>
      <c r="F458" s="6"/>
    </row>
    <row r="459" spans="1:6" s="66" customFormat="1" ht="7.5" customHeight="1" x14ac:dyDescent="0.2">
      <c r="A459" s="5"/>
      <c r="B459" s="5"/>
      <c r="C459" s="5"/>
      <c r="D459" s="5"/>
      <c r="E459" s="6"/>
      <c r="F459" s="6"/>
    </row>
    <row r="460" spans="1:6" s="66" customFormat="1" ht="11.25" customHeight="1" x14ac:dyDescent="0.2">
      <c r="A460" s="5"/>
      <c r="B460" s="5"/>
      <c r="C460" s="5"/>
      <c r="D460" s="5"/>
      <c r="E460" s="6"/>
      <c r="F460" s="6"/>
    </row>
    <row r="461" spans="1:6" s="66" customFormat="1" ht="11.25" customHeight="1" x14ac:dyDescent="0.2">
      <c r="A461" s="5"/>
      <c r="B461" s="5"/>
      <c r="C461" s="5"/>
      <c r="D461" s="5"/>
      <c r="E461" s="6"/>
      <c r="F461" s="6"/>
    </row>
    <row r="462" spans="1:6" s="1" customFormat="1" ht="11.25" customHeight="1" x14ac:dyDescent="0.2">
      <c r="A462" s="5"/>
      <c r="B462" s="5"/>
      <c r="C462" s="5"/>
      <c r="D462" s="5"/>
      <c r="E462" s="6"/>
      <c r="F462" s="6"/>
    </row>
    <row r="463" spans="1:6" s="1" customFormat="1" x14ac:dyDescent="0.2">
      <c r="A463" s="5"/>
      <c r="B463" s="5"/>
      <c r="C463" s="5"/>
      <c r="D463" s="5"/>
      <c r="E463" s="6"/>
      <c r="F463" s="6"/>
    </row>
    <row r="464" spans="1:6" s="1" customFormat="1" ht="8.25" customHeight="1" x14ac:dyDescent="0.2">
      <c r="A464" s="5"/>
      <c r="B464" s="5"/>
      <c r="C464" s="5"/>
      <c r="D464" s="5"/>
      <c r="E464" s="6"/>
      <c r="F464" s="6"/>
    </row>
    <row r="465" spans="1:6" s="1" customFormat="1" ht="27" customHeight="1" x14ac:dyDescent="0.2">
      <c r="A465" s="5"/>
      <c r="B465" s="5"/>
      <c r="C465" s="5"/>
      <c r="D465" s="5"/>
      <c r="E465" s="6"/>
      <c r="F465" s="6"/>
    </row>
    <row r="466" spans="1:6" s="1" customFormat="1" ht="7.5" customHeight="1" x14ac:dyDescent="0.2">
      <c r="A466" s="5"/>
      <c r="B466" s="5"/>
      <c r="C466" s="5"/>
      <c r="D466" s="5"/>
      <c r="E466" s="6"/>
      <c r="F466" s="6"/>
    </row>
    <row r="467" spans="1:6" s="66" customFormat="1" x14ac:dyDescent="0.2">
      <c r="A467" s="5"/>
      <c r="B467" s="5"/>
      <c r="C467" s="5"/>
      <c r="D467" s="5"/>
      <c r="E467" s="6"/>
      <c r="F467" s="6"/>
    </row>
    <row r="468" spans="1:6" s="1" customFormat="1" ht="5.25" customHeight="1" x14ac:dyDescent="0.2">
      <c r="A468" s="5"/>
      <c r="B468" s="5"/>
      <c r="C468" s="5"/>
      <c r="D468" s="5"/>
      <c r="E468" s="6"/>
      <c r="F468" s="6"/>
    </row>
    <row r="469" spans="1:6" s="8" customFormat="1" x14ac:dyDescent="0.2">
      <c r="A469" s="5"/>
      <c r="B469" s="5"/>
      <c r="C469" s="5"/>
      <c r="D469" s="5"/>
      <c r="E469" s="6"/>
      <c r="F469" s="6"/>
    </row>
    <row r="470" spans="1:6" s="1" customFormat="1" x14ac:dyDescent="0.2">
      <c r="A470" s="5"/>
      <c r="B470" s="5"/>
      <c r="C470" s="5"/>
      <c r="D470" s="5"/>
      <c r="E470" s="6"/>
      <c r="F470" s="6"/>
    </row>
    <row r="471" spans="1:6" s="1" customFormat="1" x14ac:dyDescent="0.2">
      <c r="A471" s="5"/>
      <c r="B471" s="5"/>
      <c r="C471" s="5"/>
      <c r="D471" s="5"/>
      <c r="E471" s="6"/>
      <c r="F471" s="6"/>
    </row>
    <row r="472" spans="1:6" s="1" customFormat="1" x14ac:dyDescent="0.2">
      <c r="A472" s="5"/>
      <c r="B472" s="5"/>
      <c r="C472" s="5"/>
      <c r="D472" s="5"/>
      <c r="E472" s="6"/>
      <c r="F472" s="6"/>
    </row>
    <row r="473" spans="1:6" s="1" customFormat="1" ht="11.25" customHeight="1" x14ac:dyDescent="0.2">
      <c r="A473" s="5"/>
      <c r="B473" s="5"/>
      <c r="C473" s="5"/>
      <c r="D473" s="5"/>
      <c r="E473" s="6"/>
      <c r="F473" s="6"/>
    </row>
    <row r="474" spans="1:6" s="1" customFormat="1" ht="11.25" customHeight="1" x14ac:dyDescent="0.2">
      <c r="A474" s="5"/>
      <c r="B474" s="5"/>
      <c r="C474" s="5"/>
      <c r="D474" s="5"/>
      <c r="E474" s="6"/>
      <c r="F474" s="6"/>
    </row>
    <row r="475" spans="1:6" s="1" customFormat="1" ht="11.25" customHeight="1" x14ac:dyDescent="0.2">
      <c r="A475" s="5"/>
      <c r="B475" s="5"/>
      <c r="C475" s="5"/>
      <c r="D475" s="5"/>
      <c r="E475" s="6"/>
      <c r="F475" s="6"/>
    </row>
    <row r="476" spans="1:6" s="1" customFormat="1" ht="11.25" customHeight="1" x14ac:dyDescent="0.2">
      <c r="A476" s="5"/>
      <c r="B476" s="5"/>
      <c r="C476" s="5"/>
      <c r="D476" s="5"/>
      <c r="E476" s="6"/>
      <c r="F476" s="6"/>
    </row>
    <row r="477" spans="1:6" s="1" customFormat="1" ht="11.25" customHeight="1" x14ac:dyDescent="0.2">
      <c r="A477" s="5"/>
      <c r="B477" s="5"/>
      <c r="C477" s="5"/>
      <c r="D477" s="5"/>
      <c r="E477" s="6"/>
      <c r="F477" s="6"/>
    </row>
    <row r="478" spans="1:6" s="1" customFormat="1" x14ac:dyDescent="0.2">
      <c r="A478" s="5"/>
      <c r="B478" s="5"/>
      <c r="C478" s="5"/>
      <c r="D478" s="5"/>
      <c r="E478" s="6"/>
      <c r="F478" s="6"/>
    </row>
    <row r="479" spans="1:6" s="1" customFormat="1" x14ac:dyDescent="0.2">
      <c r="A479" s="5"/>
      <c r="B479" s="5"/>
      <c r="C479" s="5"/>
      <c r="D479" s="5"/>
      <c r="E479" s="6"/>
      <c r="F479" s="6"/>
    </row>
    <row r="480" spans="1:6" s="1" customFormat="1" x14ac:dyDescent="0.2">
      <c r="A480" s="5"/>
      <c r="B480" s="5"/>
      <c r="C480" s="5"/>
      <c r="D480" s="5"/>
      <c r="E480" s="6"/>
      <c r="F480" s="6"/>
    </row>
    <row r="481" spans="1:6" s="1" customFormat="1" x14ac:dyDescent="0.2">
      <c r="A481" s="5"/>
      <c r="B481" s="5"/>
      <c r="C481" s="5"/>
      <c r="D481" s="5"/>
      <c r="E481" s="6"/>
      <c r="F481" s="6"/>
    </row>
    <row r="482" spans="1:6" s="1" customFormat="1" ht="14.25" customHeight="1" x14ac:dyDescent="0.2">
      <c r="A482" s="5"/>
      <c r="B482" s="5"/>
      <c r="C482" s="5"/>
      <c r="D482" s="5"/>
      <c r="E482" s="6"/>
      <c r="F482" s="6"/>
    </row>
    <row r="483" spans="1:6" s="1" customFormat="1" x14ac:dyDescent="0.2">
      <c r="A483" s="5"/>
      <c r="B483" s="5"/>
      <c r="C483" s="5"/>
      <c r="D483" s="5"/>
      <c r="E483" s="6"/>
      <c r="F483" s="6"/>
    </row>
    <row r="484" spans="1:6" s="1" customFormat="1" x14ac:dyDescent="0.2">
      <c r="A484" s="5"/>
      <c r="B484" s="5"/>
      <c r="C484" s="5"/>
      <c r="D484" s="5"/>
      <c r="E484" s="6"/>
      <c r="F484" s="6"/>
    </row>
    <row r="485" spans="1:6" s="1" customFormat="1" x14ac:dyDescent="0.2">
      <c r="A485" s="5"/>
      <c r="B485" s="5"/>
      <c r="C485" s="5"/>
      <c r="D485" s="5"/>
      <c r="E485" s="6"/>
      <c r="F485" s="6"/>
    </row>
    <row r="486" spans="1:6" s="1" customFormat="1" x14ac:dyDescent="0.2">
      <c r="A486" s="5"/>
      <c r="B486" s="5"/>
      <c r="C486" s="5"/>
      <c r="D486" s="5"/>
      <c r="E486" s="6"/>
      <c r="F486" s="6"/>
    </row>
    <row r="487" spans="1:6" s="1" customFormat="1" ht="17.25" customHeight="1" x14ac:dyDescent="0.2">
      <c r="A487" s="5"/>
      <c r="B487" s="5"/>
      <c r="C487" s="5"/>
      <c r="D487" s="5"/>
      <c r="E487" s="6"/>
      <c r="F487" s="6"/>
    </row>
    <row r="488" spans="1:6" s="1" customFormat="1" x14ac:dyDescent="0.2">
      <c r="A488" s="5"/>
      <c r="B488" s="5"/>
      <c r="C488" s="5"/>
      <c r="D488" s="5"/>
      <c r="E488" s="6"/>
      <c r="F488" s="6"/>
    </row>
    <row r="489" spans="1:6" s="1" customFormat="1" x14ac:dyDescent="0.2">
      <c r="A489" s="5"/>
      <c r="B489" s="5"/>
      <c r="C489" s="5"/>
      <c r="D489" s="5"/>
      <c r="E489" s="6"/>
      <c r="F489" s="6"/>
    </row>
    <row r="490" spans="1:6" s="66" customFormat="1" x14ac:dyDescent="0.2">
      <c r="A490" s="5"/>
      <c r="B490" s="5"/>
      <c r="C490" s="5"/>
      <c r="D490" s="5"/>
      <c r="E490" s="6"/>
      <c r="F490" s="6"/>
    </row>
    <row r="491" spans="1:6" s="7" customFormat="1" x14ac:dyDescent="0.2">
      <c r="A491" s="5"/>
      <c r="B491" s="5"/>
      <c r="C491" s="5"/>
      <c r="D491" s="5"/>
      <c r="E491" s="6"/>
      <c r="F491" s="6"/>
    </row>
  </sheetData>
  <sheetProtection algorithmName="SHA-512" hashValue="cyYjEOABeDSM9voiMUpvqw9yifiC71r5J3hoThroVinvhN0LFnfAC+57gts+fX8I7BC2bkzR02TlZU1KESypqg==" saltValue="KXEeAfwYDCD1lUxyaX+RrA==" spinCount="100000" sheet="1" objects="1" scenarios="1"/>
  <autoFilter ref="A11:F143"/>
  <mergeCells count="7">
    <mergeCell ref="A7:F7"/>
    <mergeCell ref="A1:F1"/>
    <mergeCell ref="A2:F2"/>
    <mergeCell ref="A3:F3"/>
    <mergeCell ref="A4:F4"/>
    <mergeCell ref="A6:F6"/>
    <mergeCell ref="C8:F8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r:id="rId1"/>
  <headerFooter alignWithMargins="0">
    <oddFooter>&amp;C&amp;6Página &amp;P de &amp;N</oddFooter>
  </headerFooter>
  <rowBreaks count="5" manualBreakCount="5">
    <brk id="43" max="5" man="1"/>
    <brk id="64" max="5" man="1"/>
    <brk id="98" max="5" man="1"/>
    <brk id="134" max="5" man="1"/>
    <brk id="17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Q828"/>
  <sheetViews>
    <sheetView topLeftCell="A326" workbookViewId="0">
      <selection activeCell="H325" sqref="H325"/>
    </sheetView>
  </sheetViews>
  <sheetFormatPr baseColWidth="10" defaultRowHeight="12.75" x14ac:dyDescent="0.2"/>
  <cols>
    <col min="1" max="1" width="5.5703125" customWidth="1"/>
    <col min="2" max="2" width="5.42578125" customWidth="1"/>
    <col min="3" max="3" width="14.140625" customWidth="1"/>
    <col min="4" max="4" width="14.85546875" customWidth="1"/>
    <col min="5" max="5" width="8.5703125" customWidth="1"/>
    <col min="6" max="6" width="14.7109375" customWidth="1"/>
    <col min="7" max="7" width="12.42578125" customWidth="1"/>
    <col min="9" max="9" width="14.85546875" customWidth="1"/>
    <col min="10" max="10" width="11.7109375" customWidth="1"/>
    <col min="13" max="13" width="10.85546875" customWidth="1"/>
    <col min="16" max="16" width="12.28515625" bestFit="1" customWidth="1"/>
  </cols>
  <sheetData>
    <row r="4" spans="1:16" ht="15" x14ac:dyDescent="0.25">
      <c r="A4" s="10"/>
      <c r="B4" s="10"/>
      <c r="C4" s="10"/>
      <c r="D4" s="10"/>
      <c r="E4" s="10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x14ac:dyDescent="0.3">
      <c r="A5" s="1568"/>
      <c r="B5" s="1568"/>
      <c r="C5" s="1568"/>
      <c r="D5" s="1568"/>
      <c r="E5" s="1568"/>
      <c r="F5" s="1568"/>
      <c r="G5" s="1568"/>
      <c r="H5" s="1568"/>
      <c r="I5" s="1568"/>
      <c r="J5" s="1568"/>
      <c r="K5" s="1568"/>
      <c r="L5" s="1568"/>
      <c r="M5" s="1568"/>
      <c r="N5" s="1568"/>
      <c r="O5" s="1568"/>
      <c r="P5" s="1568"/>
    </row>
    <row r="6" spans="1:16" ht="20.25" x14ac:dyDescent="0.3">
      <c r="A6" s="13"/>
      <c r="B6" s="13"/>
      <c r="C6" s="13" t="s">
        <v>635</v>
      </c>
      <c r="D6" s="13"/>
      <c r="E6" s="13"/>
      <c r="F6" s="13"/>
      <c r="G6" s="13"/>
    </row>
    <row r="7" spans="1:16" ht="18.75" thickBot="1" x14ac:dyDescent="0.3">
      <c r="B7" s="14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6" ht="13.5" thickBot="1" x14ac:dyDescent="0.25">
      <c r="B8" s="14"/>
      <c r="C8" s="14"/>
      <c r="D8" s="14"/>
      <c r="E8" s="1565" t="s">
        <v>63</v>
      </c>
      <c r="F8" s="1566"/>
      <c r="G8" s="16"/>
      <c r="H8" s="1565" t="s">
        <v>64</v>
      </c>
      <c r="I8" s="1566"/>
      <c r="J8" s="16"/>
      <c r="K8" s="1565" t="s">
        <v>65</v>
      </c>
      <c r="L8" s="1566"/>
      <c r="M8" s="16"/>
      <c r="N8" s="1565" t="s">
        <v>66</v>
      </c>
      <c r="O8" s="1566"/>
    </row>
    <row r="9" spans="1:16" ht="13.5" thickBot="1" x14ac:dyDescent="0.25">
      <c r="B9" s="14"/>
      <c r="C9" s="17" t="s">
        <v>67</v>
      </c>
      <c r="D9" s="14"/>
      <c r="E9" s="18" t="s">
        <v>68</v>
      </c>
      <c r="F9" s="19" t="s">
        <v>69</v>
      </c>
      <c r="G9" s="16"/>
      <c r="H9" s="18" t="s">
        <v>68</v>
      </c>
      <c r="I9" s="19" t="s">
        <v>69</v>
      </c>
      <c r="J9" s="16"/>
      <c r="K9" s="18" t="s">
        <v>68</v>
      </c>
      <c r="L9" s="19" t="s">
        <v>69</v>
      </c>
      <c r="M9" s="16"/>
      <c r="N9" s="18" t="s">
        <v>68</v>
      </c>
      <c r="O9" s="19" t="s">
        <v>70</v>
      </c>
    </row>
    <row r="10" spans="1:16" x14ac:dyDescent="0.2">
      <c r="A10" s="20"/>
      <c r="B10" s="21" t="s">
        <v>71</v>
      </c>
      <c r="C10" s="22"/>
      <c r="D10" s="23"/>
      <c r="E10" s="24">
        <v>0.63</v>
      </c>
      <c r="F10" s="25">
        <f>+E10*C10</f>
        <v>0</v>
      </c>
      <c r="G10" s="23"/>
      <c r="H10" s="26">
        <v>0.06</v>
      </c>
      <c r="I10" s="25">
        <f t="shared" ref="I10:I27" si="0">+H10*C10</f>
        <v>0</v>
      </c>
      <c r="J10" s="23"/>
      <c r="K10" s="27">
        <v>2E-3</v>
      </c>
      <c r="L10" s="25">
        <f>+K10*C10</f>
        <v>0</v>
      </c>
      <c r="M10" s="23"/>
      <c r="N10" s="28">
        <v>1.388E-2</v>
      </c>
      <c r="O10" s="25">
        <f>+N10*C10</f>
        <v>0</v>
      </c>
      <c r="P10" s="20"/>
    </row>
    <row r="11" spans="1:16" x14ac:dyDescent="0.2">
      <c r="A11" s="20"/>
      <c r="B11" s="21" t="s">
        <v>71</v>
      </c>
      <c r="C11" s="22"/>
      <c r="D11" s="23"/>
      <c r="E11" s="24">
        <v>0.63</v>
      </c>
      <c r="F11" s="25">
        <f t="shared" ref="F11:F27" si="1">+E11*C11</f>
        <v>0</v>
      </c>
      <c r="G11" s="23"/>
      <c r="H11" s="26">
        <v>0.06</v>
      </c>
      <c r="I11" s="25">
        <f t="shared" si="0"/>
        <v>0</v>
      </c>
      <c r="J11" s="23"/>
      <c r="K11" s="27">
        <v>2E-3</v>
      </c>
      <c r="L11" s="25">
        <f t="shared" ref="L11:L27" si="2">+K11*C11</f>
        <v>0</v>
      </c>
      <c r="M11" s="23"/>
      <c r="N11" s="28">
        <v>1.388E-2</v>
      </c>
      <c r="O11" s="25">
        <f t="shared" ref="O11:O27" si="3">+N11*C11</f>
        <v>0</v>
      </c>
      <c r="P11" s="20"/>
    </row>
    <row r="12" spans="1:16" x14ac:dyDescent="0.2">
      <c r="A12" s="20"/>
      <c r="B12" s="21" t="s">
        <v>72</v>
      </c>
      <c r="C12" s="29"/>
      <c r="D12" s="23"/>
      <c r="E12" s="24">
        <v>0.71</v>
      </c>
      <c r="F12" s="30">
        <f t="shared" si="1"/>
        <v>0</v>
      </c>
      <c r="G12" s="23"/>
      <c r="H12" s="31">
        <v>0.06</v>
      </c>
      <c r="I12" s="30">
        <f t="shared" si="0"/>
        <v>0</v>
      </c>
      <c r="J12" s="23"/>
      <c r="K12" s="32">
        <v>4.5999999999999999E-3</v>
      </c>
      <c r="L12" s="30">
        <f t="shared" si="2"/>
        <v>0</v>
      </c>
      <c r="M12" s="23"/>
      <c r="N12" s="33">
        <v>1.7860000000000001E-2</v>
      </c>
      <c r="O12" s="30">
        <f t="shared" si="3"/>
        <v>0</v>
      </c>
      <c r="P12" s="20"/>
    </row>
    <row r="13" spans="1:16" x14ac:dyDescent="0.2">
      <c r="A13" s="20"/>
      <c r="B13" s="21" t="s">
        <v>73</v>
      </c>
      <c r="C13" s="29"/>
      <c r="D13" s="23"/>
      <c r="E13" s="24">
        <v>0.78</v>
      </c>
      <c r="F13" s="30">
        <f t="shared" si="1"/>
        <v>0</v>
      </c>
      <c r="G13" s="23"/>
      <c r="H13" s="31">
        <v>0.06</v>
      </c>
      <c r="I13" s="30">
        <f t="shared" si="0"/>
        <v>0</v>
      </c>
      <c r="J13" s="23"/>
      <c r="K13" s="32">
        <v>8.0999999999999996E-3</v>
      </c>
      <c r="L13" s="30">
        <f t="shared" si="2"/>
        <v>0</v>
      </c>
      <c r="M13" s="23"/>
      <c r="N13" s="33">
        <v>2.5000000000000001E-2</v>
      </c>
      <c r="O13" s="30">
        <f t="shared" si="3"/>
        <v>0</v>
      </c>
      <c r="P13" s="20">
        <f>0.65*1.09</f>
        <v>0.70850000000000013</v>
      </c>
    </row>
    <row r="14" spans="1:16" x14ac:dyDescent="0.2">
      <c r="A14" s="20"/>
      <c r="B14" s="21" t="s">
        <v>74</v>
      </c>
      <c r="C14" s="21">
        <v>1054</v>
      </c>
      <c r="D14" s="1188"/>
      <c r="E14" s="24">
        <v>0.88</v>
      </c>
      <c r="F14" s="30">
        <f t="shared" si="1"/>
        <v>927.52</v>
      </c>
      <c r="G14" s="23"/>
      <c r="H14" s="31">
        <v>7.0000000000000007E-2</v>
      </c>
      <c r="I14" s="30">
        <f t="shared" si="0"/>
        <v>73.78</v>
      </c>
      <c r="J14" s="23"/>
      <c r="K14" s="32">
        <v>1.8200000000000001E-2</v>
      </c>
      <c r="L14" s="30">
        <f t="shared" si="2"/>
        <v>19.1828</v>
      </c>
      <c r="M14" s="23"/>
      <c r="N14" s="33">
        <v>7.8100000000000003E-2</v>
      </c>
      <c r="O14" s="30"/>
      <c r="P14" s="20">
        <f>0.7*1.11</f>
        <v>0.77700000000000002</v>
      </c>
    </row>
    <row r="15" spans="1:16" x14ac:dyDescent="0.2">
      <c r="A15" s="20"/>
      <c r="B15" s="21" t="s">
        <v>75</v>
      </c>
      <c r="C15" s="21"/>
      <c r="D15" s="23"/>
      <c r="E15" s="24">
        <v>0.9</v>
      </c>
      <c r="F15" s="30">
        <f t="shared" si="1"/>
        <v>0</v>
      </c>
      <c r="G15" s="23"/>
      <c r="H15" s="31">
        <v>7.4999999999999997E-2</v>
      </c>
      <c r="I15" s="30">
        <f t="shared" si="0"/>
        <v>0</v>
      </c>
      <c r="J15" s="23"/>
      <c r="K15" s="32">
        <v>3.2399999999999998E-2</v>
      </c>
      <c r="L15" s="30">
        <f t="shared" si="2"/>
        <v>0</v>
      </c>
      <c r="M15" s="23"/>
      <c r="N15" s="33">
        <v>0.156</v>
      </c>
      <c r="O15" s="30">
        <f t="shared" si="3"/>
        <v>0</v>
      </c>
      <c r="P15" s="20">
        <f>0.75*1.17</f>
        <v>0.87749999999999995</v>
      </c>
    </row>
    <row r="16" spans="1:16" x14ac:dyDescent="0.2">
      <c r="A16" s="20"/>
      <c r="B16" s="21" t="s">
        <v>76</v>
      </c>
      <c r="C16" s="21"/>
      <c r="D16" s="23"/>
      <c r="E16" s="24">
        <v>1</v>
      </c>
      <c r="F16" s="30">
        <f t="shared" si="1"/>
        <v>0</v>
      </c>
      <c r="G16" s="23"/>
      <c r="H16" s="31">
        <v>0.08</v>
      </c>
      <c r="I16" s="30">
        <f t="shared" si="0"/>
        <v>0</v>
      </c>
      <c r="J16" s="23"/>
      <c r="K16" s="32">
        <v>5.0700000000000002E-2</v>
      </c>
      <c r="L16" s="30">
        <f t="shared" si="2"/>
        <v>0</v>
      </c>
      <c r="M16" s="23"/>
      <c r="N16" s="33">
        <v>0.23430000000000001</v>
      </c>
      <c r="O16" s="30">
        <f t="shared" si="3"/>
        <v>0</v>
      </c>
      <c r="P16" s="1539"/>
    </row>
    <row r="17" spans="1:17" x14ac:dyDescent="0.2">
      <c r="A17" s="20"/>
      <c r="B17" s="21" t="s">
        <v>77</v>
      </c>
      <c r="C17" s="21"/>
      <c r="D17" s="23"/>
      <c r="E17" s="24">
        <v>1.1100000000000001</v>
      </c>
      <c r="F17" s="30">
        <f t="shared" si="1"/>
        <v>0</v>
      </c>
      <c r="G17" s="23"/>
      <c r="H17" s="31">
        <v>8.5000000000000006E-2</v>
      </c>
      <c r="I17" s="30">
        <f t="shared" si="0"/>
        <v>0</v>
      </c>
      <c r="J17" s="23"/>
      <c r="K17" s="32">
        <v>7.2999999999999995E-2</v>
      </c>
      <c r="L17" s="30">
        <f t="shared" si="2"/>
        <v>0</v>
      </c>
      <c r="M17" s="23"/>
      <c r="N17" s="33">
        <v>0.3125</v>
      </c>
      <c r="O17" s="30">
        <f t="shared" si="3"/>
        <v>0</v>
      </c>
      <c r="P17" s="20"/>
    </row>
    <row r="18" spans="1:17" x14ac:dyDescent="0.2">
      <c r="A18" s="20"/>
      <c r="B18" s="21" t="s">
        <v>78</v>
      </c>
      <c r="C18" s="21"/>
      <c r="D18" s="23"/>
      <c r="E18" s="24">
        <v>1.22</v>
      </c>
      <c r="F18" s="30">
        <f t="shared" si="1"/>
        <v>0</v>
      </c>
      <c r="G18" s="23"/>
      <c r="H18" s="31">
        <v>0.09</v>
      </c>
      <c r="I18" s="30">
        <f t="shared" si="0"/>
        <v>0</v>
      </c>
      <c r="J18" s="23"/>
      <c r="K18" s="32">
        <v>9.9299999999999999E-2</v>
      </c>
      <c r="L18" s="30">
        <f t="shared" si="2"/>
        <v>0</v>
      </c>
      <c r="M18" s="23"/>
      <c r="N18" s="33"/>
      <c r="O18" s="30">
        <f t="shared" si="3"/>
        <v>0</v>
      </c>
      <c r="P18" s="20"/>
    </row>
    <row r="19" spans="1:17" x14ac:dyDescent="0.2">
      <c r="A19" s="20"/>
      <c r="B19" s="21" t="s">
        <v>79</v>
      </c>
      <c r="C19" s="21"/>
      <c r="D19" s="23"/>
      <c r="E19" s="24">
        <v>1.4</v>
      </c>
      <c r="F19" s="30">
        <f t="shared" si="1"/>
        <v>0</v>
      </c>
      <c r="G19" s="23"/>
      <c r="H19" s="31">
        <v>0.1</v>
      </c>
      <c r="I19" s="30">
        <f t="shared" si="0"/>
        <v>0</v>
      </c>
      <c r="J19" s="23"/>
      <c r="K19" s="32">
        <v>0.12970000000000001</v>
      </c>
      <c r="L19" s="30">
        <f t="shared" si="2"/>
        <v>0</v>
      </c>
      <c r="M19" s="23"/>
      <c r="N19" s="33">
        <v>0.41660000000000003</v>
      </c>
      <c r="O19" s="30">
        <f t="shared" si="3"/>
        <v>0</v>
      </c>
      <c r="P19" s="20"/>
    </row>
    <row r="20" spans="1:17" x14ac:dyDescent="0.2">
      <c r="A20" s="20"/>
      <c r="B20" s="21" t="s">
        <v>80</v>
      </c>
      <c r="C20" s="21"/>
      <c r="D20" s="23"/>
      <c r="E20" s="24">
        <v>1.67</v>
      </c>
      <c r="F20" s="30">
        <f t="shared" si="1"/>
        <v>0</v>
      </c>
      <c r="G20" s="23"/>
      <c r="H20" s="31">
        <v>0.115</v>
      </c>
      <c r="I20" s="30">
        <f t="shared" si="0"/>
        <v>0</v>
      </c>
      <c r="J20" s="23"/>
      <c r="K20" s="32">
        <v>0.16420000000000001</v>
      </c>
      <c r="L20" s="30">
        <f t="shared" si="2"/>
        <v>0</v>
      </c>
      <c r="M20" s="23"/>
      <c r="N20" s="33"/>
      <c r="O20" s="30">
        <f t="shared" si="3"/>
        <v>0</v>
      </c>
      <c r="P20" s="20"/>
      <c r="Q20">
        <f>+C14*1.03</f>
        <v>1085.6200000000001</v>
      </c>
    </row>
    <row r="21" spans="1:17" x14ac:dyDescent="0.2">
      <c r="A21" s="20"/>
      <c r="B21" s="21" t="s">
        <v>81</v>
      </c>
      <c r="C21" s="21"/>
      <c r="D21" s="23"/>
      <c r="E21" s="24">
        <v>1.8</v>
      </c>
      <c r="F21" s="30">
        <f t="shared" si="1"/>
        <v>0</v>
      </c>
      <c r="G21" s="23"/>
      <c r="H21" s="31">
        <v>0.12</v>
      </c>
      <c r="I21" s="30">
        <f t="shared" si="0"/>
        <v>0</v>
      </c>
      <c r="J21" s="23"/>
      <c r="K21" s="32">
        <v>0.20269999999999999</v>
      </c>
      <c r="L21" s="30">
        <f t="shared" si="2"/>
        <v>0</v>
      </c>
      <c r="M21" s="23"/>
      <c r="N21" s="33"/>
      <c r="O21" s="30">
        <f t="shared" si="3"/>
        <v>0</v>
      </c>
      <c r="P21" s="20"/>
    </row>
    <row r="22" spans="1:17" x14ac:dyDescent="0.2">
      <c r="A22" s="20"/>
      <c r="B22" s="21" t="s">
        <v>82</v>
      </c>
      <c r="C22" s="21"/>
      <c r="D22" s="23"/>
      <c r="E22" s="24">
        <v>2.15</v>
      </c>
      <c r="F22" s="30">
        <f t="shared" si="1"/>
        <v>0</v>
      </c>
      <c r="G22" s="23"/>
      <c r="H22" s="31"/>
      <c r="I22" s="30">
        <f t="shared" si="0"/>
        <v>0</v>
      </c>
      <c r="J22" s="23"/>
      <c r="K22" s="32">
        <v>0.29189999999999999</v>
      </c>
      <c r="L22" s="30">
        <f t="shared" si="2"/>
        <v>0</v>
      </c>
      <c r="M22" s="23"/>
      <c r="N22" s="33"/>
      <c r="O22" s="30">
        <f t="shared" si="3"/>
        <v>0</v>
      </c>
      <c r="P22" s="20"/>
    </row>
    <row r="23" spans="1:17" x14ac:dyDescent="0.2">
      <c r="A23" s="20"/>
      <c r="B23" s="21" t="s">
        <v>83</v>
      </c>
      <c r="C23" s="21"/>
      <c r="D23" s="23"/>
      <c r="E23" s="24">
        <v>2.78</v>
      </c>
      <c r="F23" s="30">
        <f t="shared" si="1"/>
        <v>0</v>
      </c>
      <c r="G23" s="23"/>
      <c r="H23" s="31"/>
      <c r="I23" s="30">
        <f t="shared" si="0"/>
        <v>0</v>
      </c>
      <c r="J23" s="23"/>
      <c r="K23" s="32">
        <v>0.45600000000000002</v>
      </c>
      <c r="L23" s="30">
        <f t="shared" si="2"/>
        <v>0</v>
      </c>
      <c r="M23" s="23"/>
      <c r="N23" s="33"/>
      <c r="O23" s="30">
        <f t="shared" si="3"/>
        <v>0</v>
      </c>
      <c r="P23" s="20"/>
    </row>
    <row r="24" spans="1:17" x14ac:dyDescent="0.2">
      <c r="A24" s="20"/>
      <c r="B24" s="21" t="s">
        <v>84</v>
      </c>
      <c r="C24" s="21"/>
      <c r="D24" s="23"/>
      <c r="E24" s="24">
        <v>3.72</v>
      </c>
      <c r="F24" s="30">
        <f t="shared" si="1"/>
        <v>0</v>
      </c>
      <c r="G24" s="23"/>
      <c r="H24" s="31"/>
      <c r="I24" s="30">
        <f t="shared" si="0"/>
        <v>0</v>
      </c>
      <c r="J24" s="23"/>
      <c r="K24" s="32">
        <v>0.65669999999999995</v>
      </c>
      <c r="L24" s="30">
        <f t="shared" si="2"/>
        <v>0</v>
      </c>
      <c r="M24" s="23"/>
      <c r="N24" s="33"/>
      <c r="O24" s="30">
        <f t="shared" si="3"/>
        <v>0</v>
      </c>
      <c r="P24" s="20"/>
    </row>
    <row r="25" spans="1:17" x14ac:dyDescent="0.2">
      <c r="A25" s="20"/>
      <c r="B25" s="21" t="s">
        <v>85</v>
      </c>
      <c r="C25" s="21"/>
      <c r="D25" s="23"/>
      <c r="E25" s="24">
        <v>3.95</v>
      </c>
      <c r="F25" s="30">
        <f t="shared" si="1"/>
        <v>0</v>
      </c>
      <c r="G25" s="23"/>
      <c r="H25" s="31"/>
      <c r="I25" s="30">
        <f t="shared" si="0"/>
        <v>0</v>
      </c>
      <c r="J25" s="23"/>
      <c r="K25" s="32">
        <v>0.73170000000000002</v>
      </c>
      <c r="L25" s="30">
        <f t="shared" si="2"/>
        <v>0</v>
      </c>
      <c r="M25" s="23"/>
      <c r="N25" s="33"/>
      <c r="O25" s="30">
        <f t="shared" si="3"/>
        <v>0</v>
      </c>
      <c r="P25" s="20"/>
    </row>
    <row r="26" spans="1:17" x14ac:dyDescent="0.2">
      <c r="A26" s="20"/>
      <c r="B26" s="21" t="s">
        <v>86</v>
      </c>
      <c r="C26" s="21"/>
      <c r="D26" s="23"/>
      <c r="E26" s="24">
        <v>4.16</v>
      </c>
      <c r="F26" s="30">
        <f t="shared" si="1"/>
        <v>0</v>
      </c>
      <c r="G26" s="23"/>
      <c r="H26" s="31"/>
      <c r="I26" s="30">
        <f t="shared" si="0"/>
        <v>0</v>
      </c>
      <c r="J26" s="23"/>
      <c r="K26" s="32">
        <v>0.81069999999999998</v>
      </c>
      <c r="L26" s="30">
        <f t="shared" si="2"/>
        <v>0</v>
      </c>
      <c r="M26" s="23"/>
      <c r="N26" s="33"/>
      <c r="O26" s="30">
        <f t="shared" si="3"/>
        <v>0</v>
      </c>
      <c r="P26" s="20"/>
    </row>
    <row r="27" spans="1:17" ht="13.5" thickBot="1" x14ac:dyDescent="0.25">
      <c r="A27" s="20"/>
      <c r="B27" s="34" t="s">
        <v>87</v>
      </c>
      <c r="C27" s="34"/>
      <c r="D27" s="23"/>
      <c r="E27" s="24">
        <v>4.3600000000000003</v>
      </c>
      <c r="F27" s="30">
        <f t="shared" si="1"/>
        <v>0</v>
      </c>
      <c r="G27" s="23"/>
      <c r="H27" s="31"/>
      <c r="I27" s="30">
        <f t="shared" si="0"/>
        <v>0</v>
      </c>
      <c r="J27" s="23"/>
      <c r="K27" s="32">
        <v>0.89380000000000004</v>
      </c>
      <c r="L27" s="30">
        <f t="shared" si="2"/>
        <v>0</v>
      </c>
      <c r="M27" s="23"/>
      <c r="N27" s="33"/>
      <c r="O27" s="30">
        <f t="shared" si="3"/>
        <v>0</v>
      </c>
      <c r="P27" s="20"/>
    </row>
    <row r="28" spans="1:17" ht="16.5" thickBot="1" x14ac:dyDescent="0.3">
      <c r="A28" s="35"/>
      <c r="B28" s="36"/>
      <c r="C28" s="37">
        <f>SUM(C10:C27)</f>
        <v>1054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0"/>
    </row>
    <row r="29" spans="1:17" ht="13.5" thickBot="1" x14ac:dyDescent="0.25">
      <c r="A29" s="20"/>
      <c r="B29" s="23"/>
      <c r="C29" s="38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0"/>
    </row>
    <row r="30" spans="1:17" ht="16.5" thickBot="1" x14ac:dyDescent="0.3">
      <c r="A30" s="20"/>
      <c r="B30" s="23"/>
      <c r="C30" s="39" t="s">
        <v>88</v>
      </c>
      <c r="D30" s="40"/>
      <c r="E30" s="41" t="s">
        <v>89</v>
      </c>
      <c r="F30" s="37">
        <f>SUM(F10:F28)</f>
        <v>927.52</v>
      </c>
      <c r="G30" s="42"/>
      <c r="H30" s="43" t="s">
        <v>90</v>
      </c>
      <c r="I30" s="37">
        <f>SUM(I10:I28)</f>
        <v>73.78</v>
      </c>
      <c r="J30" s="44"/>
      <c r="K30" s="41" t="s">
        <v>91</v>
      </c>
      <c r="L30" s="37">
        <f>SUM(L10:L28)</f>
        <v>19.1828</v>
      </c>
      <c r="M30" s="44"/>
      <c r="N30" s="41" t="s">
        <v>92</v>
      </c>
      <c r="O30" s="37">
        <f>(SUM(O10:O28)/6)*0.25</f>
        <v>0</v>
      </c>
      <c r="P30" s="20"/>
    </row>
    <row r="31" spans="1:17" ht="13.5" thickBot="1" x14ac:dyDescent="0.25">
      <c r="A31" s="20"/>
      <c r="B31" s="23"/>
      <c r="C31" s="23"/>
      <c r="D31" s="23"/>
      <c r="E31" s="23"/>
      <c r="F31" s="45"/>
      <c r="G31" s="45"/>
      <c r="H31" s="45"/>
      <c r="I31" s="45"/>
      <c r="J31" s="23"/>
      <c r="K31" s="23"/>
      <c r="L31" s="23"/>
      <c r="M31" s="23"/>
      <c r="N31" s="23"/>
      <c r="O31" s="23"/>
      <c r="P31" s="20"/>
    </row>
    <row r="32" spans="1:17" ht="16.5" thickBot="1" x14ac:dyDescent="0.3">
      <c r="A32" s="20"/>
      <c r="B32" s="23"/>
      <c r="C32" s="46" t="s">
        <v>93</v>
      </c>
      <c r="D32" s="47"/>
      <c r="E32" s="47"/>
      <c r="F32" s="47"/>
      <c r="G32" s="47"/>
      <c r="H32" s="47"/>
      <c r="I32" s="48">
        <f>(F30-I30-L30)*0.95</f>
        <v>792.82933999999989</v>
      </c>
      <c r="J32" s="23"/>
      <c r="K32" s="23"/>
      <c r="L32" s="23"/>
      <c r="M32" s="23"/>
      <c r="N32" s="23"/>
      <c r="O32" s="23"/>
      <c r="P32" s="20"/>
    </row>
    <row r="33" spans="1:16" ht="13.5" thickBot="1" x14ac:dyDescent="0.25">
      <c r="A33" s="20"/>
      <c r="B33" s="23"/>
      <c r="C33" s="23"/>
      <c r="D33" s="23"/>
      <c r="E33" s="23"/>
      <c r="F33" s="45"/>
      <c r="G33" s="45"/>
      <c r="H33" s="45"/>
      <c r="I33" s="45"/>
      <c r="J33" s="23"/>
      <c r="K33" s="23"/>
      <c r="L33" s="23"/>
      <c r="M33" s="23"/>
      <c r="N33" s="23"/>
      <c r="O33" s="23"/>
      <c r="P33" s="20"/>
    </row>
    <row r="34" spans="1:16" ht="16.5" thickBot="1" x14ac:dyDescent="0.3">
      <c r="A34" s="20"/>
      <c r="B34" s="23"/>
      <c r="C34" s="46" t="s">
        <v>94</v>
      </c>
      <c r="D34" s="49"/>
      <c r="E34" s="49"/>
      <c r="F34" s="49"/>
      <c r="G34" s="49"/>
      <c r="H34" s="49"/>
      <c r="I34" s="48">
        <f>((F30-I32)*1.2)</f>
        <v>161.62879200000012</v>
      </c>
      <c r="J34" s="23"/>
      <c r="K34" s="23"/>
      <c r="L34" s="23"/>
      <c r="M34" s="23"/>
      <c r="N34" s="23"/>
      <c r="O34" s="23"/>
      <c r="P34" s="20"/>
    </row>
    <row r="35" spans="1:16" x14ac:dyDescent="0.2">
      <c r="A35" s="20"/>
      <c r="B35" s="23"/>
      <c r="C35" s="23"/>
      <c r="D35" s="23"/>
      <c r="E35" s="23"/>
      <c r="F35" s="23"/>
      <c r="G35" s="23"/>
      <c r="H35" s="23"/>
      <c r="I35" s="23">
        <f>+L37</f>
        <v>333.90719999999993</v>
      </c>
      <c r="J35" s="23"/>
      <c r="K35" s="23"/>
      <c r="L35" s="23"/>
      <c r="M35" s="23"/>
      <c r="N35" s="23"/>
      <c r="O35" s="23"/>
      <c r="P35" s="20"/>
    </row>
    <row r="36" spans="1:16" ht="18" x14ac:dyDescent="0.25">
      <c r="A36" s="20"/>
      <c r="B36" s="23"/>
      <c r="C36" s="1567" t="s">
        <v>95</v>
      </c>
      <c r="D36" s="1567"/>
      <c r="E36" s="1567"/>
      <c r="F36" s="1567"/>
      <c r="G36" s="23"/>
      <c r="H36" s="23"/>
      <c r="I36" s="23">
        <f>+I34+I35</f>
        <v>495.53599200000008</v>
      </c>
      <c r="J36" s="23"/>
      <c r="K36" s="23"/>
      <c r="L36" s="23" t="s">
        <v>636</v>
      </c>
      <c r="M36" s="23"/>
      <c r="N36" s="23"/>
      <c r="O36" s="23"/>
      <c r="P36" s="20"/>
    </row>
    <row r="37" spans="1:16" ht="13.5" thickBot="1" x14ac:dyDescent="0.25">
      <c r="A37" s="20"/>
      <c r="B37" s="23"/>
      <c r="C37" s="23"/>
      <c r="D37" s="23"/>
      <c r="E37" s="23"/>
      <c r="F37" s="23"/>
      <c r="G37" s="23"/>
      <c r="H37" s="23"/>
      <c r="I37" s="1015"/>
      <c r="J37" s="23"/>
      <c r="K37" s="23"/>
      <c r="L37" s="23">
        <f>+F30*0.3*1.2</f>
        <v>333.90719999999993</v>
      </c>
      <c r="M37" s="23"/>
      <c r="N37" s="23"/>
      <c r="O37" s="23"/>
      <c r="P37" s="20"/>
    </row>
    <row r="38" spans="1:16" ht="13.5" thickBot="1" x14ac:dyDescent="0.25">
      <c r="A38" s="20"/>
      <c r="B38" s="45"/>
      <c r="C38" s="50" t="s">
        <v>96</v>
      </c>
      <c r="D38" s="45"/>
      <c r="E38" s="50" t="s">
        <v>97</v>
      </c>
      <c r="F38" s="51" t="s">
        <v>98</v>
      </c>
      <c r="G38" s="23"/>
      <c r="H38" s="23"/>
      <c r="I38" s="23"/>
      <c r="J38" s="23"/>
      <c r="K38" s="23"/>
      <c r="L38" s="23"/>
      <c r="M38" s="23"/>
      <c r="N38" s="23"/>
      <c r="O38" s="23"/>
      <c r="P38" s="20"/>
    </row>
    <row r="39" spans="1:16" x14ac:dyDescent="0.2">
      <c r="A39" s="20"/>
      <c r="B39" s="21" t="s">
        <v>71</v>
      </c>
      <c r="C39" s="25"/>
      <c r="D39" s="45"/>
      <c r="E39" s="52">
        <v>0.02</v>
      </c>
      <c r="F39" s="53">
        <f>(E39*C39)+C39</f>
        <v>0</v>
      </c>
      <c r="G39" s="23"/>
      <c r="H39" s="23"/>
      <c r="I39" s="23"/>
      <c r="J39" s="23"/>
      <c r="K39" s="23"/>
      <c r="L39" s="23"/>
      <c r="M39" s="23"/>
      <c r="N39" s="23"/>
      <c r="O39" s="23"/>
      <c r="P39" s="20"/>
    </row>
    <row r="40" spans="1:16" x14ac:dyDescent="0.2">
      <c r="A40" s="20"/>
      <c r="B40" s="21" t="s">
        <v>72</v>
      </c>
      <c r="C40" s="25"/>
      <c r="D40" s="45"/>
      <c r="E40" s="54">
        <v>0.02</v>
      </c>
      <c r="F40" s="55">
        <f>(E40*C40)+C40</f>
        <v>0</v>
      </c>
      <c r="G40" s="23"/>
      <c r="H40" s="23"/>
      <c r="I40" s="23"/>
      <c r="J40" s="23"/>
      <c r="K40" s="1187" t="s">
        <v>436</v>
      </c>
      <c r="L40" s="1187">
        <f>+F30*0.7</f>
        <v>649.2639999999999</v>
      </c>
      <c r="M40" s="23"/>
      <c r="N40" s="23">
        <v>0.7</v>
      </c>
      <c r="O40" s="23"/>
      <c r="P40" s="20"/>
    </row>
    <row r="41" spans="1:16" x14ac:dyDescent="0.2">
      <c r="A41" s="20"/>
      <c r="B41" s="21" t="s">
        <v>73</v>
      </c>
      <c r="C41" s="25">
        <f>C13</f>
        <v>0</v>
      </c>
      <c r="D41" s="45"/>
      <c r="E41" s="54">
        <v>0.02</v>
      </c>
      <c r="F41" s="55">
        <f>(E41*C41)+C41</f>
        <v>0</v>
      </c>
      <c r="G41" s="23"/>
      <c r="H41" s="23"/>
      <c r="I41" s="23"/>
      <c r="J41" s="23"/>
      <c r="K41" s="23"/>
      <c r="L41" s="23">
        <f>+F30*0.3</f>
        <v>278.25599999999997</v>
      </c>
      <c r="M41" s="23"/>
      <c r="N41" s="23">
        <v>0.3</v>
      </c>
      <c r="O41" s="23"/>
      <c r="P41" s="20"/>
    </row>
    <row r="42" spans="1:16" x14ac:dyDescent="0.2">
      <c r="A42" s="20"/>
      <c r="B42" s="21" t="s">
        <v>74</v>
      </c>
      <c r="C42" s="25">
        <f>C14</f>
        <v>1054</v>
      </c>
      <c r="D42" s="45"/>
      <c r="E42" s="54">
        <v>0.03</v>
      </c>
      <c r="F42" s="55">
        <f>(E42*C42)+C42</f>
        <v>1085.6199999999999</v>
      </c>
      <c r="G42" s="23"/>
      <c r="H42" s="23"/>
      <c r="I42" s="23"/>
      <c r="J42" s="23"/>
      <c r="K42" s="1188" t="s">
        <v>101</v>
      </c>
      <c r="L42" s="23"/>
      <c r="M42" s="23"/>
      <c r="N42" s="23"/>
      <c r="O42" s="23"/>
      <c r="P42" s="20"/>
    </row>
    <row r="43" spans="1:16" x14ac:dyDescent="0.2">
      <c r="A43" s="20"/>
      <c r="B43" s="21" t="s">
        <v>75</v>
      </c>
      <c r="C43" s="25">
        <f>C15</f>
        <v>0</v>
      </c>
      <c r="D43" s="45"/>
      <c r="E43" s="54">
        <v>0.03</v>
      </c>
      <c r="F43" s="55">
        <f>C43*E43+C43</f>
        <v>0</v>
      </c>
      <c r="G43" s="23"/>
      <c r="H43" s="23"/>
      <c r="I43" s="23"/>
      <c r="J43" s="23"/>
      <c r="K43" s="23"/>
      <c r="L43" s="23"/>
      <c r="M43" s="23"/>
      <c r="N43" s="23"/>
      <c r="O43" s="23"/>
      <c r="P43" s="20"/>
    </row>
    <row r="44" spans="1:16" x14ac:dyDescent="0.2">
      <c r="A44" s="20"/>
      <c r="B44" s="21" t="s">
        <v>76</v>
      </c>
      <c r="C44" s="25">
        <f t="shared" ref="C44:C55" si="4">C16</f>
        <v>0</v>
      </c>
      <c r="D44" s="45"/>
      <c r="E44" s="54">
        <v>0.04</v>
      </c>
      <c r="F44" s="55">
        <f t="shared" ref="F44:F55" si="5">(E44*C44)+C44</f>
        <v>0</v>
      </c>
      <c r="G44" s="23"/>
      <c r="H44" s="23"/>
      <c r="I44" s="23"/>
      <c r="J44" s="23"/>
      <c r="K44" s="23"/>
      <c r="L44" s="23"/>
      <c r="M44" s="23"/>
      <c r="N44" s="23"/>
      <c r="O44" s="23"/>
      <c r="P44" s="20"/>
    </row>
    <row r="45" spans="1:16" x14ac:dyDescent="0.2">
      <c r="A45" s="20"/>
      <c r="B45" s="21" t="s">
        <v>77</v>
      </c>
      <c r="C45" s="25">
        <f t="shared" si="4"/>
        <v>0</v>
      </c>
      <c r="D45" s="45"/>
      <c r="E45" s="54">
        <v>0.04</v>
      </c>
      <c r="F45" s="55">
        <f t="shared" si="5"/>
        <v>0</v>
      </c>
      <c r="G45" s="23"/>
      <c r="H45" s="23"/>
      <c r="I45" s="23"/>
      <c r="J45" s="23"/>
      <c r="K45" s="23"/>
      <c r="L45" s="23"/>
      <c r="M45" s="23"/>
      <c r="N45" s="23"/>
      <c r="O45" s="23"/>
      <c r="P45" s="20"/>
    </row>
    <row r="46" spans="1:16" x14ac:dyDescent="0.2">
      <c r="A46" s="20"/>
      <c r="B46" s="21" t="s">
        <v>78</v>
      </c>
      <c r="C46" s="25">
        <f t="shared" si="4"/>
        <v>0</v>
      </c>
      <c r="D46" s="45"/>
      <c r="E46" s="54">
        <v>0.04</v>
      </c>
      <c r="F46" s="55">
        <f t="shared" si="5"/>
        <v>0</v>
      </c>
      <c r="G46" s="23"/>
      <c r="H46" s="23"/>
      <c r="I46" s="23"/>
      <c r="J46" s="23"/>
      <c r="K46" s="23"/>
      <c r="L46" s="23"/>
      <c r="M46" s="23"/>
      <c r="N46" s="23"/>
      <c r="O46" s="23"/>
      <c r="P46" s="20"/>
    </row>
    <row r="47" spans="1:16" x14ac:dyDescent="0.2">
      <c r="A47" s="20"/>
      <c r="B47" s="21" t="s">
        <v>79</v>
      </c>
      <c r="C47" s="25">
        <f t="shared" si="4"/>
        <v>0</v>
      </c>
      <c r="D47" s="45"/>
      <c r="E47" s="54">
        <v>0.05</v>
      </c>
      <c r="F47" s="55">
        <f t="shared" si="5"/>
        <v>0</v>
      </c>
      <c r="G47" s="23"/>
      <c r="H47" s="23"/>
      <c r="I47" s="23"/>
      <c r="J47" s="23"/>
      <c r="K47" s="23"/>
      <c r="L47" s="23"/>
      <c r="M47" s="23"/>
      <c r="N47" s="23"/>
      <c r="O47" s="23"/>
      <c r="P47" s="20"/>
    </row>
    <row r="48" spans="1:16" x14ac:dyDescent="0.2">
      <c r="A48" s="20"/>
      <c r="B48" s="21" t="s">
        <v>80</v>
      </c>
      <c r="C48" s="25">
        <f t="shared" si="4"/>
        <v>0</v>
      </c>
      <c r="D48" s="45"/>
      <c r="E48" s="54">
        <v>0.05</v>
      </c>
      <c r="F48" s="55">
        <f t="shared" si="5"/>
        <v>0</v>
      </c>
      <c r="G48" s="23"/>
      <c r="H48" s="23"/>
      <c r="I48" s="23"/>
      <c r="J48" s="23"/>
      <c r="K48" s="23"/>
      <c r="L48" s="23"/>
      <c r="M48" s="23"/>
      <c r="N48" s="23"/>
      <c r="O48" s="23"/>
      <c r="P48" s="20"/>
    </row>
    <row r="49" spans="1:16" x14ac:dyDescent="0.2">
      <c r="A49" s="20"/>
      <c r="B49" s="21" t="s">
        <v>81</v>
      </c>
      <c r="C49" s="25">
        <f t="shared" si="4"/>
        <v>0</v>
      </c>
      <c r="D49" s="45"/>
      <c r="E49" s="54">
        <v>0.06</v>
      </c>
      <c r="F49" s="55">
        <f t="shared" si="5"/>
        <v>0</v>
      </c>
      <c r="G49" s="23"/>
      <c r="H49" s="23"/>
      <c r="I49" s="23"/>
      <c r="J49" s="23"/>
      <c r="K49" s="23"/>
      <c r="L49" s="23"/>
      <c r="M49" s="23"/>
      <c r="N49" s="23"/>
      <c r="O49" s="23"/>
      <c r="P49" s="20"/>
    </row>
    <row r="50" spans="1:16" x14ac:dyDescent="0.2">
      <c r="A50" s="20"/>
      <c r="B50" s="21" t="s">
        <v>82</v>
      </c>
      <c r="C50" s="25">
        <f t="shared" si="4"/>
        <v>0</v>
      </c>
      <c r="D50" s="45"/>
      <c r="E50" s="54">
        <v>7.0000000000000007E-2</v>
      </c>
      <c r="F50" s="55">
        <f t="shared" si="5"/>
        <v>0</v>
      </c>
      <c r="G50" s="23"/>
      <c r="H50" s="23"/>
      <c r="I50" s="23"/>
      <c r="J50" s="23"/>
      <c r="K50" s="23"/>
      <c r="L50" s="23"/>
      <c r="M50" s="23"/>
      <c r="N50" s="23"/>
      <c r="O50" s="23"/>
      <c r="P50" s="20"/>
    </row>
    <row r="51" spans="1:16" x14ac:dyDescent="0.2">
      <c r="A51" s="20"/>
      <c r="B51" s="21" t="s">
        <v>83</v>
      </c>
      <c r="C51" s="25">
        <f t="shared" si="4"/>
        <v>0</v>
      </c>
      <c r="D51" s="45"/>
      <c r="E51" s="54"/>
      <c r="F51" s="55">
        <f t="shared" si="5"/>
        <v>0</v>
      </c>
      <c r="G51" s="23"/>
      <c r="H51" s="23"/>
      <c r="I51" s="23"/>
      <c r="J51" s="23"/>
      <c r="K51" s="23"/>
      <c r="L51" s="23"/>
      <c r="M51" s="23"/>
      <c r="N51" s="23"/>
      <c r="O51" s="23"/>
      <c r="P51" s="20"/>
    </row>
    <row r="52" spans="1:16" x14ac:dyDescent="0.2">
      <c r="A52" s="20"/>
      <c r="B52" s="21" t="s">
        <v>84</v>
      </c>
      <c r="C52" s="25">
        <f t="shared" si="4"/>
        <v>0</v>
      </c>
      <c r="D52" s="45"/>
      <c r="E52" s="54"/>
      <c r="F52" s="55">
        <f t="shared" si="5"/>
        <v>0</v>
      </c>
      <c r="G52" s="23"/>
      <c r="H52" s="23"/>
      <c r="I52" s="23"/>
      <c r="J52" s="23"/>
      <c r="K52" s="23"/>
      <c r="L52" s="23"/>
      <c r="M52" s="23"/>
      <c r="N52" s="23"/>
      <c r="O52" s="23"/>
      <c r="P52" s="20"/>
    </row>
    <row r="53" spans="1:16" x14ac:dyDescent="0.2">
      <c r="A53" s="20"/>
      <c r="B53" s="21" t="s">
        <v>85</v>
      </c>
      <c r="C53" s="25">
        <f t="shared" si="4"/>
        <v>0</v>
      </c>
      <c r="D53" s="45"/>
      <c r="E53" s="54"/>
      <c r="F53" s="55">
        <f t="shared" si="5"/>
        <v>0</v>
      </c>
      <c r="G53" s="23"/>
      <c r="H53" s="23"/>
      <c r="I53" s="23"/>
      <c r="J53" s="23"/>
      <c r="K53" s="23"/>
      <c r="L53" s="23"/>
      <c r="M53" s="23"/>
      <c r="N53" s="23"/>
      <c r="O53" s="23"/>
      <c r="P53" s="20"/>
    </row>
    <row r="54" spans="1:16" x14ac:dyDescent="0.2">
      <c r="A54" s="20"/>
      <c r="B54" s="21" t="s">
        <v>86</v>
      </c>
      <c r="C54" s="25">
        <f t="shared" si="4"/>
        <v>0</v>
      </c>
      <c r="D54" s="45"/>
      <c r="E54" s="54"/>
      <c r="F54" s="55">
        <f t="shared" si="5"/>
        <v>0</v>
      </c>
      <c r="G54" s="23"/>
      <c r="H54" s="23"/>
      <c r="I54" s="23"/>
      <c r="J54" s="23"/>
      <c r="K54" s="23"/>
      <c r="L54" s="23"/>
      <c r="M54" s="23"/>
      <c r="N54" s="23"/>
      <c r="O54" s="23"/>
      <c r="P54" s="20"/>
    </row>
    <row r="55" spans="1:16" x14ac:dyDescent="0.2">
      <c r="A55" s="20"/>
      <c r="B55" s="21" t="s">
        <v>87</v>
      </c>
      <c r="C55" s="25">
        <f t="shared" si="4"/>
        <v>0</v>
      </c>
      <c r="D55" s="45"/>
      <c r="E55" s="54"/>
      <c r="F55" s="55">
        <f t="shared" si="5"/>
        <v>0</v>
      </c>
      <c r="G55" s="23"/>
      <c r="H55" s="23"/>
      <c r="I55" s="23"/>
      <c r="J55" s="23"/>
      <c r="K55" s="23"/>
      <c r="L55" s="23"/>
      <c r="M55" s="23"/>
      <c r="N55" s="23"/>
      <c r="O55" s="23"/>
      <c r="P55" s="20"/>
    </row>
    <row r="56" spans="1:16" x14ac:dyDescent="0.2">
      <c r="A56" s="20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0"/>
    </row>
    <row r="58" spans="1:16" s="954" customFormat="1" x14ac:dyDescent="0.2"/>
    <row r="59" spans="1:16" s="954" customFormat="1" ht="20.25" x14ac:dyDescent="0.3">
      <c r="A59" s="953"/>
      <c r="B59" s="953"/>
      <c r="C59" s="953" t="s">
        <v>637</v>
      </c>
      <c r="D59" s="953"/>
      <c r="E59" s="953"/>
      <c r="F59" s="953"/>
      <c r="G59" s="953"/>
    </row>
    <row r="60" spans="1:16" s="954" customFormat="1" ht="18.75" thickBot="1" x14ac:dyDescent="0.3">
      <c r="B60" s="14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6" s="954" customFormat="1" ht="13.5" thickBot="1" x14ac:dyDescent="0.25">
      <c r="B61" s="14"/>
      <c r="C61" s="14"/>
      <c r="D61" s="14"/>
      <c r="E61" s="1565" t="s">
        <v>63</v>
      </c>
      <c r="F61" s="1566"/>
      <c r="G61" s="16"/>
      <c r="H61" s="1565" t="s">
        <v>64</v>
      </c>
      <c r="I61" s="1566"/>
      <c r="J61" s="16"/>
      <c r="K61" s="1565" t="s">
        <v>65</v>
      </c>
      <c r="L61" s="1566"/>
      <c r="M61" s="16"/>
      <c r="N61" s="1565" t="s">
        <v>66</v>
      </c>
      <c r="O61" s="1566"/>
    </row>
    <row r="62" spans="1:16" s="954" customFormat="1" ht="13.5" thickBot="1" x14ac:dyDescent="0.25">
      <c r="B62" s="14"/>
      <c r="C62" s="17" t="s">
        <v>67</v>
      </c>
      <c r="D62" s="14"/>
      <c r="E62" s="18" t="s">
        <v>68</v>
      </c>
      <c r="F62" s="19" t="s">
        <v>69</v>
      </c>
      <c r="G62" s="16"/>
      <c r="H62" s="18" t="s">
        <v>68</v>
      </c>
      <c r="I62" s="19" t="s">
        <v>69</v>
      </c>
      <c r="J62" s="16"/>
      <c r="K62" s="18" t="s">
        <v>68</v>
      </c>
      <c r="L62" s="19" t="s">
        <v>69</v>
      </c>
      <c r="M62" s="16"/>
      <c r="N62" s="18" t="s">
        <v>68</v>
      </c>
      <c r="O62" s="19" t="s">
        <v>70</v>
      </c>
    </row>
    <row r="63" spans="1:16" s="954" customFormat="1" x14ac:dyDescent="0.2">
      <c r="A63" s="20"/>
      <c r="B63" s="21" t="s">
        <v>71</v>
      </c>
      <c r="C63" s="22"/>
      <c r="D63" s="23"/>
      <c r="E63" s="24">
        <v>0.63</v>
      </c>
      <c r="F63" s="25">
        <f>+E63*C63</f>
        <v>0</v>
      </c>
      <c r="G63" s="23"/>
      <c r="H63" s="26">
        <v>0.06</v>
      </c>
      <c r="I63" s="25">
        <f t="shared" ref="I63:I80" si="6">+H63*C63</f>
        <v>0</v>
      </c>
      <c r="J63" s="23"/>
      <c r="K63" s="27">
        <v>2E-3</v>
      </c>
      <c r="L63" s="25">
        <f>+K63*C63</f>
        <v>0</v>
      </c>
      <c r="M63" s="23"/>
      <c r="N63" s="28">
        <v>1.388E-2</v>
      </c>
      <c r="O63" s="25">
        <f>+N63*C63</f>
        <v>0</v>
      </c>
    </row>
    <row r="64" spans="1:16" s="954" customFormat="1" x14ac:dyDescent="0.2">
      <c r="A64" s="20"/>
      <c r="B64" s="21" t="s">
        <v>71</v>
      </c>
      <c r="C64" s="22"/>
      <c r="D64" s="23"/>
      <c r="E64" s="24">
        <v>0.63</v>
      </c>
      <c r="F64" s="25">
        <f t="shared" ref="F64:F80" si="7">+E64*C64</f>
        <v>0</v>
      </c>
      <c r="G64" s="23"/>
      <c r="H64" s="26">
        <v>0.06</v>
      </c>
      <c r="I64" s="25">
        <f t="shared" si="6"/>
        <v>0</v>
      </c>
      <c r="J64" s="23"/>
      <c r="K64" s="27">
        <v>2E-3</v>
      </c>
      <c r="L64" s="25">
        <f t="shared" ref="L64:L80" si="8">+K64*C64</f>
        <v>0</v>
      </c>
      <c r="M64" s="23"/>
      <c r="N64" s="28">
        <v>1.388E-2</v>
      </c>
      <c r="O64" s="25">
        <f t="shared" ref="O64:O66" si="9">+N64*C64</f>
        <v>0</v>
      </c>
    </row>
    <row r="65" spans="1:15" s="954" customFormat="1" x14ac:dyDescent="0.2">
      <c r="A65" s="20"/>
      <c r="B65" s="21" t="s">
        <v>72</v>
      </c>
      <c r="C65" s="29"/>
      <c r="D65" s="23"/>
      <c r="E65" s="24">
        <v>0.65</v>
      </c>
      <c r="F65" s="30">
        <f t="shared" si="7"/>
        <v>0</v>
      </c>
      <c r="G65" s="23"/>
      <c r="H65" s="31">
        <v>0.06</v>
      </c>
      <c r="I65" s="30">
        <f t="shared" si="6"/>
        <v>0</v>
      </c>
      <c r="J65" s="23"/>
      <c r="K65" s="32">
        <v>4.5999999999999999E-3</v>
      </c>
      <c r="L65" s="30">
        <f t="shared" si="8"/>
        <v>0</v>
      </c>
      <c r="M65" s="23"/>
      <c r="N65" s="33">
        <v>1.7860000000000001E-2</v>
      </c>
      <c r="O65" s="30">
        <f t="shared" si="9"/>
        <v>0</v>
      </c>
    </row>
    <row r="66" spans="1:15" s="954" customFormat="1" x14ac:dyDescent="0.2">
      <c r="A66" s="20"/>
      <c r="B66" s="21" t="s">
        <v>73</v>
      </c>
      <c r="C66" s="29"/>
      <c r="D66" s="23"/>
      <c r="E66" s="24">
        <v>0.66</v>
      </c>
      <c r="F66" s="30">
        <f t="shared" si="7"/>
        <v>0</v>
      </c>
      <c r="G66" s="23"/>
      <c r="H66" s="31">
        <v>0.06</v>
      </c>
      <c r="I66" s="30">
        <f t="shared" si="6"/>
        <v>0</v>
      </c>
      <c r="J66" s="23"/>
      <c r="K66" s="32">
        <v>8.0999999999999996E-3</v>
      </c>
      <c r="L66" s="30">
        <f t="shared" si="8"/>
        <v>0</v>
      </c>
      <c r="M66" s="23"/>
      <c r="N66" s="33">
        <v>2.5000000000000001E-2</v>
      </c>
      <c r="O66" s="30">
        <f t="shared" si="9"/>
        <v>0</v>
      </c>
    </row>
    <row r="67" spans="1:15" s="954" customFormat="1" x14ac:dyDescent="0.2">
      <c r="A67" s="20"/>
      <c r="B67" s="21" t="s">
        <v>74</v>
      </c>
      <c r="C67" s="21">
        <v>323.81</v>
      </c>
      <c r="D67" s="1188">
        <f>325.72</f>
        <v>325.72000000000003</v>
      </c>
      <c r="E67" s="24">
        <v>0.81</v>
      </c>
      <c r="F67" s="30">
        <f t="shared" si="7"/>
        <v>262.28610000000003</v>
      </c>
      <c r="G67" s="23"/>
      <c r="H67" s="31">
        <v>7.0000000000000007E-2</v>
      </c>
      <c r="I67" s="30">
        <f t="shared" si="6"/>
        <v>22.666700000000002</v>
      </c>
      <c r="J67" s="23"/>
      <c r="K67" s="32">
        <v>1.8200000000000001E-2</v>
      </c>
      <c r="L67" s="30">
        <f t="shared" si="8"/>
        <v>5.8933420000000005</v>
      </c>
      <c r="M67" s="23"/>
      <c r="N67" s="33">
        <v>7.8100000000000003E-2</v>
      </c>
      <c r="O67" s="30"/>
    </row>
    <row r="68" spans="1:15" s="954" customFormat="1" x14ac:dyDescent="0.2">
      <c r="A68" s="20"/>
      <c r="B68" s="21" t="s">
        <v>75</v>
      </c>
      <c r="C68" s="21"/>
      <c r="D68" s="23"/>
      <c r="E68" s="24">
        <v>0.9</v>
      </c>
      <c r="F68" s="30">
        <f t="shared" si="7"/>
        <v>0</v>
      </c>
      <c r="G68" s="23"/>
      <c r="H68" s="31">
        <v>7.4999999999999997E-2</v>
      </c>
      <c r="I68" s="30">
        <f t="shared" si="6"/>
        <v>0</v>
      </c>
      <c r="J68" s="23"/>
      <c r="K68" s="32">
        <v>3.2399999999999998E-2</v>
      </c>
      <c r="L68" s="30">
        <f t="shared" si="8"/>
        <v>0</v>
      </c>
      <c r="M68" s="23"/>
      <c r="N68" s="33">
        <v>0.156</v>
      </c>
      <c r="O68" s="30">
        <f t="shared" ref="O68:O80" si="10">+N68*C68</f>
        <v>0</v>
      </c>
    </row>
    <row r="69" spans="1:15" s="954" customFormat="1" x14ac:dyDescent="0.2">
      <c r="A69" s="20"/>
      <c r="B69" s="21" t="s">
        <v>76</v>
      </c>
      <c r="C69" s="21"/>
      <c r="D69" s="23"/>
      <c r="E69" s="24">
        <v>1</v>
      </c>
      <c r="F69" s="30">
        <f t="shared" si="7"/>
        <v>0</v>
      </c>
      <c r="G69" s="23"/>
      <c r="H69" s="31">
        <v>0.08</v>
      </c>
      <c r="I69" s="30">
        <f t="shared" si="6"/>
        <v>0</v>
      </c>
      <c r="J69" s="23"/>
      <c r="K69" s="32">
        <v>5.0700000000000002E-2</v>
      </c>
      <c r="L69" s="30">
        <f t="shared" si="8"/>
        <v>0</v>
      </c>
      <c r="M69" s="23"/>
      <c r="N69" s="33">
        <v>0.23430000000000001</v>
      </c>
      <c r="O69" s="30">
        <f t="shared" si="10"/>
        <v>0</v>
      </c>
    </row>
    <row r="70" spans="1:15" s="954" customFormat="1" x14ac:dyDescent="0.2">
      <c r="A70" s="20"/>
      <c r="B70" s="21" t="s">
        <v>77</v>
      </c>
      <c r="C70" s="21"/>
      <c r="D70" s="23"/>
      <c r="E70" s="24">
        <v>1.1100000000000001</v>
      </c>
      <c r="F70" s="30">
        <f t="shared" si="7"/>
        <v>0</v>
      </c>
      <c r="G70" s="23"/>
      <c r="H70" s="31">
        <v>8.5000000000000006E-2</v>
      </c>
      <c r="I70" s="30">
        <f t="shared" si="6"/>
        <v>0</v>
      </c>
      <c r="J70" s="23"/>
      <c r="K70" s="32">
        <v>7.2999999999999995E-2</v>
      </c>
      <c r="L70" s="30">
        <f t="shared" si="8"/>
        <v>0</v>
      </c>
      <c r="M70" s="23"/>
      <c r="N70" s="33">
        <v>0.3125</v>
      </c>
      <c r="O70" s="30">
        <f t="shared" si="10"/>
        <v>0</v>
      </c>
    </row>
    <row r="71" spans="1:15" s="954" customFormat="1" x14ac:dyDescent="0.2">
      <c r="A71" s="20"/>
      <c r="B71" s="21" t="s">
        <v>78</v>
      </c>
      <c r="C71" s="21"/>
      <c r="D71" s="23"/>
      <c r="E71" s="24">
        <v>1.22</v>
      </c>
      <c r="F71" s="30">
        <f t="shared" si="7"/>
        <v>0</v>
      </c>
      <c r="G71" s="23"/>
      <c r="H71" s="31">
        <v>0.09</v>
      </c>
      <c r="I71" s="30">
        <f t="shared" si="6"/>
        <v>0</v>
      </c>
      <c r="J71" s="23"/>
      <c r="K71" s="32">
        <v>9.9299999999999999E-2</v>
      </c>
      <c r="L71" s="30">
        <f t="shared" si="8"/>
        <v>0</v>
      </c>
      <c r="M71" s="23"/>
      <c r="N71" s="33"/>
      <c r="O71" s="30">
        <f t="shared" si="10"/>
        <v>0</v>
      </c>
    </row>
    <row r="72" spans="1:15" s="954" customFormat="1" x14ac:dyDescent="0.2">
      <c r="A72" s="20"/>
      <c r="B72" s="21" t="s">
        <v>79</v>
      </c>
      <c r="C72" s="21"/>
      <c r="D72" s="23"/>
      <c r="E72" s="24">
        <v>1.4</v>
      </c>
      <c r="F72" s="30">
        <f t="shared" si="7"/>
        <v>0</v>
      </c>
      <c r="G72" s="23"/>
      <c r="H72" s="31">
        <v>0.1</v>
      </c>
      <c r="I72" s="30">
        <f t="shared" si="6"/>
        <v>0</v>
      </c>
      <c r="J72" s="23"/>
      <c r="K72" s="32">
        <v>0.12970000000000001</v>
      </c>
      <c r="L72" s="30">
        <f t="shared" si="8"/>
        <v>0</v>
      </c>
      <c r="M72" s="23"/>
      <c r="N72" s="33">
        <v>0.41660000000000003</v>
      </c>
      <c r="O72" s="30">
        <f t="shared" si="10"/>
        <v>0</v>
      </c>
    </row>
    <row r="73" spans="1:15" s="954" customFormat="1" x14ac:dyDescent="0.2">
      <c r="A73" s="20"/>
      <c r="B73" s="21" t="s">
        <v>80</v>
      </c>
      <c r="C73" s="21"/>
      <c r="D73" s="23"/>
      <c r="E73" s="24">
        <v>1.67</v>
      </c>
      <c r="F73" s="30">
        <f t="shared" si="7"/>
        <v>0</v>
      </c>
      <c r="G73" s="23"/>
      <c r="H73" s="31">
        <v>0.115</v>
      </c>
      <c r="I73" s="30">
        <f t="shared" si="6"/>
        <v>0</v>
      </c>
      <c r="J73" s="23"/>
      <c r="K73" s="32">
        <v>0.16420000000000001</v>
      </c>
      <c r="L73" s="30">
        <f t="shared" si="8"/>
        <v>0</v>
      </c>
      <c r="M73" s="23"/>
      <c r="N73" s="33"/>
      <c r="O73" s="30">
        <f t="shared" si="10"/>
        <v>0</v>
      </c>
    </row>
    <row r="74" spans="1:15" s="954" customFormat="1" x14ac:dyDescent="0.2">
      <c r="A74" s="20"/>
      <c r="B74" s="21" t="s">
        <v>81</v>
      </c>
      <c r="C74" s="21"/>
      <c r="D74" s="23"/>
      <c r="E74" s="24">
        <v>1.8</v>
      </c>
      <c r="F74" s="30">
        <f t="shared" si="7"/>
        <v>0</v>
      </c>
      <c r="G74" s="23"/>
      <c r="H74" s="31">
        <v>0.12</v>
      </c>
      <c r="I74" s="30">
        <f t="shared" si="6"/>
        <v>0</v>
      </c>
      <c r="J74" s="23"/>
      <c r="K74" s="32">
        <v>0.20269999999999999</v>
      </c>
      <c r="L74" s="30">
        <f t="shared" si="8"/>
        <v>0</v>
      </c>
      <c r="M74" s="23"/>
      <c r="N74" s="33"/>
      <c r="O74" s="30">
        <f t="shared" si="10"/>
        <v>0</v>
      </c>
    </row>
    <row r="75" spans="1:15" s="954" customFormat="1" x14ac:dyDescent="0.2">
      <c r="A75" s="20"/>
      <c r="B75" s="21" t="s">
        <v>82</v>
      </c>
      <c r="C75" s="21"/>
      <c r="D75" s="23"/>
      <c r="E75" s="24">
        <v>2.15</v>
      </c>
      <c r="F75" s="30">
        <f t="shared" si="7"/>
        <v>0</v>
      </c>
      <c r="G75" s="23"/>
      <c r="H75" s="31"/>
      <c r="I75" s="30">
        <f t="shared" si="6"/>
        <v>0</v>
      </c>
      <c r="J75" s="23"/>
      <c r="K75" s="32">
        <v>0.29189999999999999</v>
      </c>
      <c r="L75" s="30">
        <f t="shared" si="8"/>
        <v>0</v>
      </c>
      <c r="M75" s="23"/>
      <c r="N75" s="33"/>
      <c r="O75" s="30">
        <f t="shared" si="10"/>
        <v>0</v>
      </c>
    </row>
    <row r="76" spans="1:15" s="954" customFormat="1" x14ac:dyDescent="0.2">
      <c r="A76" s="20"/>
      <c r="B76" s="21" t="s">
        <v>83</v>
      </c>
      <c r="C76" s="21"/>
      <c r="D76" s="23"/>
      <c r="E76" s="24">
        <v>2.78</v>
      </c>
      <c r="F76" s="30">
        <f t="shared" si="7"/>
        <v>0</v>
      </c>
      <c r="G76" s="23"/>
      <c r="H76" s="31"/>
      <c r="I76" s="30">
        <f t="shared" si="6"/>
        <v>0</v>
      </c>
      <c r="J76" s="23"/>
      <c r="K76" s="32">
        <v>0.45600000000000002</v>
      </c>
      <c r="L76" s="30">
        <f t="shared" si="8"/>
        <v>0</v>
      </c>
      <c r="M76" s="23"/>
      <c r="N76" s="33"/>
      <c r="O76" s="30">
        <f t="shared" si="10"/>
        <v>0</v>
      </c>
    </row>
    <row r="77" spans="1:15" s="954" customFormat="1" x14ac:dyDescent="0.2">
      <c r="A77" s="20"/>
      <c r="B77" s="21" t="s">
        <v>84</v>
      </c>
      <c r="C77" s="21"/>
      <c r="D77" s="23"/>
      <c r="E77" s="24">
        <v>3.72</v>
      </c>
      <c r="F77" s="30">
        <f t="shared" si="7"/>
        <v>0</v>
      </c>
      <c r="G77" s="23"/>
      <c r="H77" s="31"/>
      <c r="I77" s="30">
        <f t="shared" si="6"/>
        <v>0</v>
      </c>
      <c r="J77" s="23"/>
      <c r="K77" s="32">
        <v>0.65669999999999995</v>
      </c>
      <c r="L77" s="30">
        <f t="shared" si="8"/>
        <v>0</v>
      </c>
      <c r="M77" s="23"/>
      <c r="N77" s="33"/>
      <c r="O77" s="30">
        <f t="shared" si="10"/>
        <v>0</v>
      </c>
    </row>
    <row r="78" spans="1:15" s="954" customFormat="1" x14ac:dyDescent="0.2">
      <c r="A78" s="20"/>
      <c r="B78" s="21" t="s">
        <v>85</v>
      </c>
      <c r="C78" s="21"/>
      <c r="D78" s="23"/>
      <c r="E78" s="24">
        <v>3.95</v>
      </c>
      <c r="F78" s="30">
        <f t="shared" si="7"/>
        <v>0</v>
      </c>
      <c r="G78" s="23"/>
      <c r="H78" s="31"/>
      <c r="I78" s="30">
        <f t="shared" si="6"/>
        <v>0</v>
      </c>
      <c r="J78" s="23"/>
      <c r="K78" s="32">
        <v>0.73170000000000002</v>
      </c>
      <c r="L78" s="30">
        <f t="shared" si="8"/>
        <v>0</v>
      </c>
      <c r="M78" s="23"/>
      <c r="N78" s="33"/>
      <c r="O78" s="30">
        <f t="shared" si="10"/>
        <v>0</v>
      </c>
    </row>
    <row r="79" spans="1:15" s="954" customFormat="1" x14ac:dyDescent="0.2">
      <c r="A79" s="20"/>
      <c r="B79" s="21" t="s">
        <v>86</v>
      </c>
      <c r="C79" s="21"/>
      <c r="D79" s="23"/>
      <c r="E79" s="24">
        <v>4.16</v>
      </c>
      <c r="F79" s="30">
        <f t="shared" si="7"/>
        <v>0</v>
      </c>
      <c r="G79" s="23"/>
      <c r="H79" s="31"/>
      <c r="I79" s="30">
        <f t="shared" si="6"/>
        <v>0</v>
      </c>
      <c r="J79" s="23"/>
      <c r="K79" s="32">
        <v>0.81069999999999998</v>
      </c>
      <c r="L79" s="30">
        <f t="shared" si="8"/>
        <v>0</v>
      </c>
      <c r="M79" s="23"/>
      <c r="N79" s="33"/>
      <c r="O79" s="30">
        <f t="shared" si="10"/>
        <v>0</v>
      </c>
    </row>
    <row r="80" spans="1:15" s="954" customFormat="1" ht="13.5" thickBot="1" x14ac:dyDescent="0.25">
      <c r="A80" s="20"/>
      <c r="B80" s="34" t="s">
        <v>87</v>
      </c>
      <c r="C80" s="34"/>
      <c r="D80" s="23"/>
      <c r="E80" s="24">
        <v>4.3600000000000003</v>
      </c>
      <c r="F80" s="30">
        <f t="shared" si="7"/>
        <v>0</v>
      </c>
      <c r="G80" s="23"/>
      <c r="H80" s="31"/>
      <c r="I80" s="30">
        <f t="shared" si="6"/>
        <v>0</v>
      </c>
      <c r="J80" s="23"/>
      <c r="K80" s="32">
        <v>0.89380000000000004</v>
      </c>
      <c r="L80" s="30">
        <f t="shared" si="8"/>
        <v>0</v>
      </c>
      <c r="M80" s="23"/>
      <c r="N80" s="33"/>
      <c r="O80" s="30">
        <f t="shared" si="10"/>
        <v>0</v>
      </c>
    </row>
    <row r="81" spans="1:15" s="954" customFormat="1" ht="16.5" thickBot="1" x14ac:dyDescent="0.3">
      <c r="A81" s="35"/>
      <c r="B81" s="36"/>
      <c r="C81" s="37">
        <f>SUM(C63:C80)</f>
        <v>323.81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s="954" customFormat="1" ht="13.5" thickBot="1" x14ac:dyDescent="0.25">
      <c r="A82" s="20"/>
      <c r="B82" s="23"/>
      <c r="C82" s="3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s="954" customFormat="1" ht="16.5" thickBot="1" x14ac:dyDescent="0.3">
      <c r="A83" s="20"/>
      <c r="B83" s="23"/>
      <c r="C83" s="39" t="s">
        <v>88</v>
      </c>
      <c r="D83" s="40"/>
      <c r="E83" s="41" t="s">
        <v>89</v>
      </c>
      <c r="F83" s="37">
        <f>SUM(F63:F81)</f>
        <v>262.28610000000003</v>
      </c>
      <c r="G83" s="42"/>
      <c r="H83" s="43" t="s">
        <v>90</v>
      </c>
      <c r="I83" s="37">
        <f>SUM(I63:I81)</f>
        <v>22.666700000000002</v>
      </c>
      <c r="J83" s="44"/>
      <c r="K83" s="41" t="s">
        <v>91</v>
      </c>
      <c r="L83" s="37">
        <f>SUM(L63:L81)</f>
        <v>5.8933420000000005</v>
      </c>
      <c r="M83" s="44"/>
      <c r="N83" s="41" t="s">
        <v>92</v>
      </c>
      <c r="O83" s="37">
        <f>(SUM(O63:O81)/6)*0.25</f>
        <v>0</v>
      </c>
    </row>
    <row r="84" spans="1:15" s="954" customFormat="1" ht="13.5" thickBot="1" x14ac:dyDescent="0.25">
      <c r="A84" s="20"/>
      <c r="B84" s="23"/>
      <c r="C84" s="23"/>
      <c r="D84" s="23"/>
      <c r="E84" s="23"/>
      <c r="F84" s="45"/>
      <c r="G84" s="45"/>
      <c r="H84" s="45"/>
      <c r="I84" s="45"/>
      <c r="J84" s="23"/>
      <c r="K84" s="23"/>
      <c r="L84" s="23"/>
      <c r="M84" s="23"/>
      <c r="N84" s="23"/>
      <c r="O84" s="23"/>
    </row>
    <row r="85" spans="1:15" s="954" customFormat="1" ht="16.5" thickBot="1" x14ac:dyDescent="0.3">
      <c r="A85" s="20"/>
      <c r="B85" s="23"/>
      <c r="C85" s="46" t="s">
        <v>93</v>
      </c>
      <c r="D85" s="47"/>
      <c r="E85" s="47"/>
      <c r="F85" s="47"/>
      <c r="G85" s="47"/>
      <c r="H85" s="47"/>
      <c r="I85" s="48">
        <f>(F83-I83-L83)*0.95</f>
        <v>222.03975510000004</v>
      </c>
      <c r="J85" s="23"/>
      <c r="K85" s="23"/>
      <c r="L85" s="23"/>
      <c r="M85" s="23"/>
      <c r="N85" s="23"/>
      <c r="O85" s="23"/>
    </row>
    <row r="86" spans="1:15" s="954" customFormat="1" ht="13.5" thickBot="1" x14ac:dyDescent="0.25">
      <c r="A86" s="20"/>
      <c r="B86" s="23"/>
      <c r="C86" s="23"/>
      <c r="D86" s="23"/>
      <c r="E86" s="23"/>
      <c r="F86" s="45"/>
      <c r="G86" s="45"/>
      <c r="H86" s="45"/>
      <c r="I86" s="45"/>
      <c r="J86" s="23"/>
      <c r="K86" s="23"/>
      <c r="L86" s="23"/>
      <c r="M86" s="23"/>
      <c r="N86" s="23"/>
      <c r="O86" s="23"/>
    </row>
    <row r="87" spans="1:15" s="954" customFormat="1" ht="16.5" thickBot="1" x14ac:dyDescent="0.3">
      <c r="A87" s="20"/>
      <c r="B87" s="23"/>
      <c r="C87" s="46" t="s">
        <v>94</v>
      </c>
      <c r="D87" s="49"/>
      <c r="E87" s="49"/>
      <c r="F87" s="49"/>
      <c r="G87" s="49"/>
      <c r="H87" s="49"/>
      <c r="I87" s="48">
        <f>((F83-I85)*1.2)</f>
        <v>48.295613879999998</v>
      </c>
      <c r="J87" s="23"/>
      <c r="K87" s="23"/>
      <c r="L87" s="23"/>
      <c r="M87" s="23"/>
      <c r="N87" s="23"/>
      <c r="O87" s="23"/>
    </row>
    <row r="88" spans="1:15" s="954" customFormat="1" x14ac:dyDescent="0.2">
      <c r="A88" s="20"/>
      <c r="B88" s="23"/>
      <c r="C88" s="23"/>
      <c r="D88" s="23"/>
      <c r="E88" s="23"/>
      <c r="F88" s="23"/>
      <c r="G88" s="23"/>
      <c r="H88" s="23"/>
      <c r="I88" s="23">
        <f>+O90</f>
        <v>94.422996000000012</v>
      </c>
      <c r="J88" s="23"/>
      <c r="K88" s="23"/>
      <c r="L88" s="23"/>
      <c r="M88" s="23"/>
      <c r="N88" s="23"/>
      <c r="O88" s="23"/>
    </row>
    <row r="89" spans="1:15" s="954" customFormat="1" ht="18" x14ac:dyDescent="0.25">
      <c r="A89" s="20"/>
      <c r="B89" s="23"/>
      <c r="C89" s="1567" t="s">
        <v>95</v>
      </c>
      <c r="D89" s="1567"/>
      <c r="E89" s="1567"/>
      <c r="F89" s="1567"/>
      <c r="G89" s="23"/>
      <c r="H89" s="1540" t="s">
        <v>101</v>
      </c>
      <c r="I89" s="1540">
        <f>+I87+I88</f>
        <v>142.71860988</v>
      </c>
      <c r="J89" s="23"/>
      <c r="K89" s="23"/>
      <c r="L89" s="23" t="s">
        <v>636</v>
      </c>
      <c r="M89" s="23"/>
      <c r="N89" s="23"/>
      <c r="O89" s="23"/>
    </row>
    <row r="90" spans="1:15" s="954" customFormat="1" ht="13.5" thickBot="1" x14ac:dyDescent="0.25">
      <c r="A90" s="20"/>
      <c r="B90" s="23"/>
      <c r="C90" s="23"/>
      <c r="D90" s="23"/>
      <c r="E90" s="23"/>
      <c r="F90" s="23"/>
      <c r="G90" s="23"/>
      <c r="H90" s="23"/>
      <c r="I90" s="23"/>
      <c r="J90" s="23"/>
      <c r="K90" s="23">
        <v>0.3</v>
      </c>
      <c r="L90" s="23">
        <f>+F83*0.3</f>
        <v>78.68583000000001</v>
      </c>
      <c r="M90" s="23"/>
      <c r="N90" s="23"/>
      <c r="O90" s="23">
        <f>+L90*1.2</f>
        <v>94.422996000000012</v>
      </c>
    </row>
    <row r="91" spans="1:15" s="954" customFormat="1" ht="13.5" thickBot="1" x14ac:dyDescent="0.25">
      <c r="A91" s="20"/>
      <c r="B91" s="45"/>
      <c r="C91" s="50" t="s">
        <v>96</v>
      </c>
      <c r="D91" s="45"/>
      <c r="E91" s="50" t="s">
        <v>97</v>
      </c>
      <c r="F91" s="51" t="s">
        <v>98</v>
      </c>
      <c r="G91" s="23"/>
      <c r="H91" s="23"/>
      <c r="I91" s="23"/>
      <c r="J91" s="23"/>
      <c r="K91" s="23">
        <v>0.7</v>
      </c>
      <c r="L91" s="23">
        <f>+F83*0.7</f>
        <v>183.60027000000002</v>
      </c>
      <c r="M91" s="23"/>
      <c r="N91" s="23"/>
      <c r="O91" s="23"/>
    </row>
    <row r="92" spans="1:15" s="954" customFormat="1" x14ac:dyDescent="0.2">
      <c r="A92" s="20"/>
      <c r="B92" s="21" t="s">
        <v>71</v>
      </c>
      <c r="C92" s="25"/>
      <c r="D92" s="45"/>
      <c r="E92" s="52">
        <v>0.02</v>
      </c>
      <c r="F92" s="53">
        <f>(E92*C92)+C92</f>
        <v>0</v>
      </c>
      <c r="G92" s="23"/>
      <c r="H92" s="23"/>
      <c r="I92" s="23"/>
      <c r="J92" s="23"/>
      <c r="K92" s="23"/>
      <c r="L92" s="23">
        <f>F83-I83-L83</f>
        <v>233.72605800000005</v>
      </c>
      <c r="M92" s="23"/>
      <c r="N92" s="23"/>
      <c r="O92" s="23"/>
    </row>
    <row r="93" spans="1:15" s="954" customFormat="1" x14ac:dyDescent="0.2">
      <c r="A93" s="20"/>
      <c r="B93" s="21" t="s">
        <v>72</v>
      </c>
      <c r="C93" s="25"/>
      <c r="D93" s="45"/>
      <c r="E93" s="54">
        <v>0.02</v>
      </c>
      <c r="F93" s="55">
        <f>(E93*C93)+C93</f>
        <v>0</v>
      </c>
      <c r="G93" s="23"/>
      <c r="H93" s="23"/>
      <c r="I93" s="23"/>
      <c r="J93" s="23"/>
      <c r="K93" s="1188" t="s">
        <v>436</v>
      </c>
      <c r="L93" s="23">
        <f>L92*1.2</f>
        <v>280.47126960000003</v>
      </c>
      <c r="M93" s="23"/>
      <c r="N93" s="23"/>
      <c r="O93" s="23"/>
    </row>
    <row r="94" spans="1:15" s="954" customFormat="1" x14ac:dyDescent="0.2">
      <c r="A94" s="20"/>
      <c r="B94" s="21" t="s">
        <v>73</v>
      </c>
      <c r="C94" s="25">
        <f>C66</f>
        <v>0</v>
      </c>
      <c r="D94" s="45"/>
      <c r="E94" s="54">
        <v>0.02</v>
      </c>
      <c r="F94" s="55">
        <f>(E94*C94)+C94</f>
        <v>0</v>
      </c>
      <c r="G94" s="23"/>
      <c r="H94" s="23"/>
      <c r="I94" s="23"/>
      <c r="J94" s="23"/>
      <c r="K94" s="23"/>
      <c r="L94" s="23"/>
      <c r="M94" s="23"/>
      <c r="N94" s="23"/>
      <c r="O94" s="23"/>
    </row>
    <row r="95" spans="1:15" s="954" customFormat="1" x14ac:dyDescent="0.2">
      <c r="A95" s="20"/>
      <c r="B95" s="21" t="s">
        <v>74</v>
      </c>
      <c r="C95" s="25">
        <f>C67</f>
        <v>323.81</v>
      </c>
      <c r="D95" s="45"/>
      <c r="E95" s="54">
        <v>0.03</v>
      </c>
      <c r="F95" s="55">
        <f>(E95*C95)+C95</f>
        <v>333.52429999999998</v>
      </c>
      <c r="G95" s="23"/>
      <c r="H95" s="23"/>
      <c r="I95" s="23"/>
      <c r="J95" s="23"/>
      <c r="K95" s="23"/>
      <c r="L95" s="23"/>
      <c r="M95" s="23"/>
      <c r="N95" s="23"/>
      <c r="O95" s="23"/>
    </row>
    <row r="96" spans="1:15" s="954" customFormat="1" x14ac:dyDescent="0.2">
      <c r="A96" s="20"/>
      <c r="B96" s="21" t="s">
        <v>75</v>
      </c>
      <c r="C96" s="25">
        <f>C68</f>
        <v>0</v>
      </c>
      <c r="D96" s="45"/>
      <c r="E96" s="54">
        <v>0.03</v>
      </c>
      <c r="F96" s="55">
        <f>C96*E96+C96</f>
        <v>0</v>
      </c>
      <c r="G96" s="23"/>
      <c r="H96" s="23"/>
      <c r="I96" s="23"/>
      <c r="J96" s="23"/>
      <c r="K96" s="1188" t="s">
        <v>101</v>
      </c>
      <c r="L96" s="23">
        <f>F83*1.2</f>
        <v>314.74332000000004</v>
      </c>
      <c r="M96" s="23"/>
      <c r="N96" s="23"/>
      <c r="O96" s="23"/>
    </row>
    <row r="97" spans="1:15" s="954" customFormat="1" x14ac:dyDescent="0.2">
      <c r="A97" s="20"/>
      <c r="B97" s="21" t="s">
        <v>76</v>
      </c>
      <c r="C97" s="25">
        <f t="shared" ref="C97:C108" si="11">C69</f>
        <v>0</v>
      </c>
      <c r="D97" s="45"/>
      <c r="E97" s="54">
        <v>0.04</v>
      </c>
      <c r="F97" s="55">
        <f t="shared" ref="F97:F108" si="12">(E97*C97)+C97</f>
        <v>0</v>
      </c>
      <c r="G97" s="23"/>
      <c r="H97" s="23"/>
      <c r="I97" s="23"/>
      <c r="J97" s="23"/>
      <c r="K97" s="23"/>
      <c r="L97" s="23"/>
      <c r="M97" s="23"/>
      <c r="N97" s="23"/>
      <c r="O97" s="23"/>
    </row>
    <row r="98" spans="1:15" s="954" customFormat="1" x14ac:dyDescent="0.2">
      <c r="A98" s="20"/>
      <c r="B98" s="21" t="s">
        <v>77</v>
      </c>
      <c r="C98" s="25">
        <f t="shared" si="11"/>
        <v>0</v>
      </c>
      <c r="D98" s="45"/>
      <c r="E98" s="54">
        <v>0.04</v>
      </c>
      <c r="F98" s="55">
        <f t="shared" si="12"/>
        <v>0</v>
      </c>
      <c r="G98" s="23"/>
      <c r="H98" s="23"/>
      <c r="I98" s="23"/>
      <c r="J98" s="23"/>
      <c r="K98" s="23"/>
      <c r="L98" s="23"/>
      <c r="M98" s="23"/>
      <c r="N98" s="23"/>
      <c r="O98" s="23"/>
    </row>
    <row r="99" spans="1:15" s="954" customFormat="1" x14ac:dyDescent="0.2">
      <c r="A99" s="20"/>
      <c r="B99" s="21" t="s">
        <v>78</v>
      </c>
      <c r="C99" s="25">
        <f t="shared" si="11"/>
        <v>0</v>
      </c>
      <c r="D99" s="45"/>
      <c r="E99" s="54">
        <v>0.04</v>
      </c>
      <c r="F99" s="55">
        <f t="shared" si="12"/>
        <v>0</v>
      </c>
      <c r="G99" s="23"/>
      <c r="H99" s="23"/>
      <c r="I99" s="23"/>
      <c r="J99" s="23"/>
      <c r="K99" s="23"/>
      <c r="L99" s="23"/>
      <c r="M99" s="23"/>
      <c r="N99" s="23"/>
      <c r="O99" s="23"/>
    </row>
    <row r="100" spans="1:15" s="954" customFormat="1" x14ac:dyDescent="0.2">
      <c r="A100" s="20"/>
      <c r="B100" s="21" t="s">
        <v>79</v>
      </c>
      <c r="C100" s="25">
        <f t="shared" si="11"/>
        <v>0</v>
      </c>
      <c r="D100" s="45"/>
      <c r="E100" s="54">
        <v>0.05</v>
      </c>
      <c r="F100" s="55">
        <f t="shared" si="12"/>
        <v>0</v>
      </c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s="954" customFormat="1" x14ac:dyDescent="0.2">
      <c r="A101" s="20"/>
      <c r="B101" s="21" t="s">
        <v>80</v>
      </c>
      <c r="C101" s="25">
        <f t="shared" si="11"/>
        <v>0</v>
      </c>
      <c r="D101" s="45"/>
      <c r="E101" s="54">
        <v>0.05</v>
      </c>
      <c r="F101" s="55">
        <f t="shared" si="12"/>
        <v>0</v>
      </c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s="954" customFormat="1" x14ac:dyDescent="0.2">
      <c r="A102" s="20"/>
      <c r="B102" s="21" t="s">
        <v>81</v>
      </c>
      <c r="C102" s="25">
        <f t="shared" si="11"/>
        <v>0</v>
      </c>
      <c r="D102" s="45"/>
      <c r="E102" s="54">
        <v>0.06</v>
      </c>
      <c r="F102" s="55">
        <f t="shared" si="12"/>
        <v>0</v>
      </c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s="954" customFormat="1" x14ac:dyDescent="0.2">
      <c r="A103" s="20"/>
      <c r="B103" s="21" t="s">
        <v>82</v>
      </c>
      <c r="C103" s="25">
        <f t="shared" si="11"/>
        <v>0</v>
      </c>
      <c r="D103" s="45"/>
      <c r="E103" s="54">
        <v>7.0000000000000007E-2</v>
      </c>
      <c r="F103" s="55">
        <f t="shared" si="12"/>
        <v>0</v>
      </c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s="954" customFormat="1" x14ac:dyDescent="0.2">
      <c r="A104" s="20"/>
      <c r="B104" s="21" t="s">
        <v>83</v>
      </c>
      <c r="C104" s="25">
        <f t="shared" si="11"/>
        <v>0</v>
      </c>
      <c r="D104" s="45"/>
      <c r="E104" s="54"/>
      <c r="F104" s="55">
        <f t="shared" si="12"/>
        <v>0</v>
      </c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s="954" customFormat="1" x14ac:dyDescent="0.2">
      <c r="A105" s="20"/>
      <c r="B105" s="21" t="s">
        <v>84</v>
      </c>
      <c r="C105" s="25">
        <f t="shared" si="11"/>
        <v>0</v>
      </c>
      <c r="D105" s="45"/>
      <c r="E105" s="54"/>
      <c r="F105" s="55">
        <f t="shared" si="12"/>
        <v>0</v>
      </c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s="954" customFormat="1" x14ac:dyDescent="0.2">
      <c r="A106" s="20"/>
      <c r="B106" s="21" t="s">
        <v>85</v>
      </c>
      <c r="C106" s="25">
        <f t="shared" si="11"/>
        <v>0</v>
      </c>
      <c r="D106" s="45"/>
      <c r="E106" s="54"/>
      <c r="F106" s="55">
        <f t="shared" si="12"/>
        <v>0</v>
      </c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s="954" customFormat="1" x14ac:dyDescent="0.2">
      <c r="A107" s="20"/>
      <c r="B107" s="21" t="s">
        <v>86</v>
      </c>
      <c r="C107" s="25">
        <f t="shared" si="11"/>
        <v>0</v>
      </c>
      <c r="D107" s="45"/>
      <c r="E107" s="54"/>
      <c r="F107" s="55">
        <f t="shared" si="12"/>
        <v>0</v>
      </c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s="954" customFormat="1" x14ac:dyDescent="0.2">
      <c r="A108" s="20"/>
      <c r="B108" s="21" t="s">
        <v>87</v>
      </c>
      <c r="C108" s="25">
        <f t="shared" si="11"/>
        <v>0</v>
      </c>
      <c r="D108" s="45"/>
      <c r="E108" s="54"/>
      <c r="F108" s="55">
        <f t="shared" si="12"/>
        <v>0</v>
      </c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s="954" customFormat="1" x14ac:dyDescent="0.2">
      <c r="A109" s="20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s="954" customFormat="1" x14ac:dyDescent="0.2"/>
    <row r="111" spans="1:15" s="954" customFormat="1" x14ac:dyDescent="0.2"/>
    <row r="112" spans="1:15" s="954" customFormat="1" ht="20.25" x14ac:dyDescent="0.3">
      <c r="B112" s="955"/>
      <c r="C112" s="955" t="s">
        <v>641</v>
      </c>
      <c r="D112" s="955"/>
      <c r="E112" s="955"/>
      <c r="F112" s="955"/>
      <c r="G112" s="955"/>
      <c r="H112" s="654"/>
      <c r="I112" s="956"/>
      <c r="J112" s="956"/>
      <c r="K112" s="956"/>
      <c r="L112" s="956"/>
      <c r="M112" s="956"/>
      <c r="N112" s="956"/>
      <c r="O112" s="956"/>
    </row>
    <row r="113" spans="2:17" s="954" customFormat="1" ht="18.75" thickBot="1" x14ac:dyDescent="0.3">
      <c r="B113" s="14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7" s="954" customFormat="1" ht="13.5" thickBot="1" x14ac:dyDescent="0.25">
      <c r="B114" s="14"/>
      <c r="C114" s="14"/>
      <c r="D114" s="14"/>
      <c r="E114" s="1565" t="s">
        <v>63</v>
      </c>
      <c r="F114" s="1566"/>
      <c r="G114" s="16"/>
      <c r="H114" s="1565" t="s">
        <v>64</v>
      </c>
      <c r="I114" s="1566"/>
      <c r="J114" s="16"/>
      <c r="K114" s="1565" t="s">
        <v>65</v>
      </c>
      <c r="L114" s="1566"/>
      <c r="M114" s="16"/>
      <c r="N114" s="1565" t="s">
        <v>66</v>
      </c>
      <c r="O114" s="1566"/>
    </row>
    <row r="115" spans="2:17" s="954" customFormat="1" ht="13.5" thickBot="1" x14ac:dyDescent="0.25">
      <c r="B115" s="14"/>
      <c r="C115" s="17" t="s">
        <v>67</v>
      </c>
      <c r="D115" s="14"/>
      <c r="E115" s="18" t="s">
        <v>68</v>
      </c>
      <c r="F115" s="19" t="s">
        <v>69</v>
      </c>
      <c r="G115" s="16"/>
      <c r="H115" s="18" t="s">
        <v>68</v>
      </c>
      <c r="I115" s="19" t="s">
        <v>69</v>
      </c>
      <c r="J115" s="16"/>
      <c r="K115" s="18" t="s">
        <v>68</v>
      </c>
      <c r="L115" s="19" t="s">
        <v>69</v>
      </c>
      <c r="M115" s="16"/>
      <c r="N115" s="18" t="s">
        <v>68</v>
      </c>
      <c r="O115" s="19" t="s">
        <v>70</v>
      </c>
    </row>
    <row r="116" spans="2:17" s="954" customFormat="1" x14ac:dyDescent="0.2">
      <c r="B116" s="21" t="s">
        <v>71</v>
      </c>
      <c r="C116" s="22"/>
      <c r="D116" s="23"/>
      <c r="E116" s="24">
        <v>0.63</v>
      </c>
      <c r="F116" s="25">
        <f>+E116*C116</f>
        <v>0</v>
      </c>
      <c r="G116" s="23"/>
      <c r="H116" s="26">
        <v>0.06</v>
      </c>
      <c r="I116" s="25">
        <f t="shared" ref="I116:I133" si="13">+H116*C116</f>
        <v>0</v>
      </c>
      <c r="J116" s="23"/>
      <c r="K116" s="27">
        <v>2E-3</v>
      </c>
      <c r="L116" s="25">
        <f>+K116*C116</f>
        <v>0</v>
      </c>
      <c r="M116" s="23"/>
      <c r="N116" s="28">
        <v>1.388E-2</v>
      </c>
      <c r="O116" s="25">
        <f>+N116*C116</f>
        <v>0</v>
      </c>
    </row>
    <row r="117" spans="2:17" s="954" customFormat="1" x14ac:dyDescent="0.2">
      <c r="B117" s="21" t="s">
        <v>71</v>
      </c>
      <c r="C117" s="22"/>
      <c r="D117" s="23"/>
      <c r="E117" s="24">
        <v>0.63</v>
      </c>
      <c r="F117" s="25">
        <f t="shared" ref="F117:F133" si="14">+E117*C117</f>
        <v>0</v>
      </c>
      <c r="G117" s="23"/>
      <c r="H117" s="26">
        <v>0.06</v>
      </c>
      <c r="I117" s="25">
        <f t="shared" si="13"/>
        <v>0</v>
      </c>
      <c r="J117" s="23"/>
      <c r="K117" s="27">
        <v>2E-3</v>
      </c>
      <c r="L117" s="25">
        <f t="shared" ref="L117:L133" si="15">+K117*C117</f>
        <v>0</v>
      </c>
      <c r="M117" s="23"/>
      <c r="N117" s="28">
        <v>1.388E-2</v>
      </c>
      <c r="O117" s="25">
        <f t="shared" ref="O117:O119" si="16">+N117*C117</f>
        <v>0</v>
      </c>
      <c r="Q117" s="954">
        <f>0.6*1.09</f>
        <v>0.65400000000000003</v>
      </c>
    </row>
    <row r="118" spans="2:17" s="954" customFormat="1" x14ac:dyDescent="0.2">
      <c r="B118" s="21" t="s">
        <v>72</v>
      </c>
      <c r="C118" s="1554">
        <f>7524.25-38</f>
        <v>7486.25</v>
      </c>
      <c r="D118" s="23"/>
      <c r="E118" s="24">
        <v>0.65</v>
      </c>
      <c r="F118" s="30">
        <f t="shared" si="14"/>
        <v>4866.0625</v>
      </c>
      <c r="G118" s="23"/>
      <c r="H118" s="31">
        <v>7.0000000000000007E-2</v>
      </c>
      <c r="I118" s="30">
        <f t="shared" si="13"/>
        <v>524.03750000000002</v>
      </c>
      <c r="J118" s="23"/>
      <c r="K118" s="32">
        <v>4.5999999999999999E-3</v>
      </c>
      <c r="L118" s="30">
        <f t="shared" si="15"/>
        <v>34.436749999999996</v>
      </c>
      <c r="M118" s="23"/>
      <c r="N118" s="33">
        <v>1.7860000000000001E-2</v>
      </c>
      <c r="O118" s="30">
        <f t="shared" si="16"/>
        <v>133.70442500000001</v>
      </c>
      <c r="Q118" s="954">
        <f>0.7*1.11</f>
        <v>0.77700000000000002</v>
      </c>
    </row>
    <row r="119" spans="2:17" s="954" customFormat="1" x14ac:dyDescent="0.2">
      <c r="B119" s="21" t="s">
        <v>73</v>
      </c>
      <c r="C119" s="29">
        <f>3980.7-22</f>
        <v>3958.7</v>
      </c>
      <c r="D119" s="23"/>
      <c r="E119" s="24">
        <v>0.77</v>
      </c>
      <c r="F119" s="30">
        <f t="shared" si="14"/>
        <v>3048.1990000000001</v>
      </c>
      <c r="G119" s="23"/>
      <c r="H119" s="31">
        <v>7.0000000000000007E-2</v>
      </c>
      <c r="I119" s="30">
        <f t="shared" si="13"/>
        <v>277.10900000000004</v>
      </c>
      <c r="J119" s="23"/>
      <c r="K119" s="32">
        <v>8.0999999999999996E-3</v>
      </c>
      <c r="L119" s="30">
        <f t="shared" si="15"/>
        <v>32.065469999999998</v>
      </c>
      <c r="M119" s="23"/>
      <c r="N119" s="33">
        <v>2.5000000000000001E-2</v>
      </c>
      <c r="O119" s="30">
        <f t="shared" si="16"/>
        <v>98.967500000000001</v>
      </c>
    </row>
    <row r="120" spans="2:17" s="954" customFormat="1" x14ac:dyDescent="0.2">
      <c r="B120" s="21" t="s">
        <v>74</v>
      </c>
      <c r="C120" s="21"/>
      <c r="D120" s="23"/>
      <c r="E120" s="24">
        <v>0.81</v>
      </c>
      <c r="F120" s="30">
        <f t="shared" si="14"/>
        <v>0</v>
      </c>
      <c r="G120" s="23"/>
      <c r="H120" s="31">
        <v>7.0000000000000007E-2</v>
      </c>
      <c r="I120" s="30">
        <f t="shared" si="13"/>
        <v>0</v>
      </c>
      <c r="J120" s="23"/>
      <c r="K120" s="32">
        <v>1.8200000000000001E-2</v>
      </c>
      <c r="L120" s="30">
        <f t="shared" si="15"/>
        <v>0</v>
      </c>
      <c r="M120" s="23"/>
      <c r="N120" s="33">
        <v>7.8100000000000003E-2</v>
      </c>
      <c r="O120" s="30"/>
    </row>
    <row r="121" spans="2:17" s="954" customFormat="1" x14ac:dyDescent="0.2">
      <c r="B121" s="21" t="s">
        <v>75</v>
      </c>
      <c r="C121" s="21"/>
      <c r="D121" s="23"/>
      <c r="E121" s="24">
        <v>0.9</v>
      </c>
      <c r="F121" s="30">
        <f t="shared" si="14"/>
        <v>0</v>
      </c>
      <c r="G121" s="23"/>
      <c r="H121" s="31">
        <v>7.4999999999999997E-2</v>
      </c>
      <c r="I121" s="30">
        <f t="shared" si="13"/>
        <v>0</v>
      </c>
      <c r="J121" s="23"/>
      <c r="K121" s="32">
        <v>3.2399999999999998E-2</v>
      </c>
      <c r="L121" s="30">
        <f t="shared" si="15"/>
        <v>0</v>
      </c>
      <c r="M121" s="23"/>
      <c r="N121" s="33">
        <v>0.156</v>
      </c>
      <c r="O121" s="30">
        <f t="shared" ref="O121:O133" si="17">+N121*C121</f>
        <v>0</v>
      </c>
    </row>
    <row r="122" spans="2:17" s="954" customFormat="1" x14ac:dyDescent="0.2">
      <c r="B122" s="21" t="s">
        <v>76</v>
      </c>
      <c r="C122" s="21"/>
      <c r="D122" s="23"/>
      <c r="E122" s="24">
        <v>1</v>
      </c>
      <c r="F122" s="30">
        <f t="shared" si="14"/>
        <v>0</v>
      </c>
      <c r="G122" s="23"/>
      <c r="H122" s="31">
        <v>0.08</v>
      </c>
      <c r="I122" s="30">
        <f t="shared" si="13"/>
        <v>0</v>
      </c>
      <c r="J122" s="23"/>
      <c r="K122" s="32">
        <v>5.0700000000000002E-2</v>
      </c>
      <c r="L122" s="30">
        <f t="shared" si="15"/>
        <v>0</v>
      </c>
      <c r="M122" s="23"/>
      <c r="N122" s="33">
        <v>0.23430000000000001</v>
      </c>
      <c r="O122" s="30">
        <f t="shared" si="17"/>
        <v>0</v>
      </c>
    </row>
    <row r="123" spans="2:17" s="954" customFormat="1" x14ac:dyDescent="0.2">
      <c r="B123" s="21" t="s">
        <v>77</v>
      </c>
      <c r="C123" s="21"/>
      <c r="D123" s="23"/>
      <c r="E123" s="24">
        <v>1.1100000000000001</v>
      </c>
      <c r="F123" s="30">
        <f t="shared" si="14"/>
        <v>0</v>
      </c>
      <c r="G123" s="23"/>
      <c r="H123" s="31">
        <v>8.5000000000000006E-2</v>
      </c>
      <c r="I123" s="30">
        <f t="shared" si="13"/>
        <v>0</v>
      </c>
      <c r="J123" s="23"/>
      <c r="K123" s="32">
        <v>7.2999999999999995E-2</v>
      </c>
      <c r="L123" s="30">
        <f t="shared" si="15"/>
        <v>0</v>
      </c>
      <c r="M123" s="23"/>
      <c r="N123" s="33">
        <v>0.3125</v>
      </c>
      <c r="O123" s="30">
        <f t="shared" si="17"/>
        <v>0</v>
      </c>
    </row>
    <row r="124" spans="2:17" s="954" customFormat="1" x14ac:dyDescent="0.2">
      <c r="B124" s="21" t="s">
        <v>78</v>
      </c>
      <c r="C124" s="21"/>
      <c r="D124" s="23"/>
      <c r="E124" s="24">
        <v>1.22</v>
      </c>
      <c r="F124" s="30">
        <f t="shared" si="14"/>
        <v>0</v>
      </c>
      <c r="G124" s="23"/>
      <c r="H124" s="31">
        <v>0.09</v>
      </c>
      <c r="I124" s="30">
        <f t="shared" si="13"/>
        <v>0</v>
      </c>
      <c r="J124" s="23"/>
      <c r="K124" s="32">
        <v>9.9299999999999999E-2</v>
      </c>
      <c r="L124" s="30">
        <f t="shared" si="15"/>
        <v>0</v>
      </c>
      <c r="M124" s="23"/>
      <c r="N124" s="33"/>
      <c r="O124" s="30">
        <f t="shared" si="17"/>
        <v>0</v>
      </c>
    </row>
    <row r="125" spans="2:17" s="954" customFormat="1" x14ac:dyDescent="0.2">
      <c r="B125" s="21" t="s">
        <v>79</v>
      </c>
      <c r="C125" s="21"/>
      <c r="D125" s="23"/>
      <c r="E125" s="24">
        <v>1.4</v>
      </c>
      <c r="F125" s="30">
        <f t="shared" si="14"/>
        <v>0</v>
      </c>
      <c r="G125" s="23"/>
      <c r="H125" s="31">
        <v>0.1</v>
      </c>
      <c r="I125" s="30">
        <f t="shared" si="13"/>
        <v>0</v>
      </c>
      <c r="J125" s="23"/>
      <c r="K125" s="32">
        <v>0.12970000000000001</v>
      </c>
      <c r="L125" s="30">
        <f t="shared" si="15"/>
        <v>0</v>
      </c>
      <c r="M125" s="23"/>
      <c r="N125" s="33">
        <v>0.41660000000000003</v>
      </c>
      <c r="O125" s="30">
        <f t="shared" si="17"/>
        <v>0</v>
      </c>
    </row>
    <row r="126" spans="2:17" s="954" customFormat="1" x14ac:dyDescent="0.2">
      <c r="B126" s="21" t="s">
        <v>80</v>
      </c>
      <c r="C126" s="21"/>
      <c r="D126" s="23"/>
      <c r="E126" s="24">
        <v>1.67</v>
      </c>
      <c r="F126" s="30">
        <f t="shared" si="14"/>
        <v>0</v>
      </c>
      <c r="G126" s="23"/>
      <c r="H126" s="31">
        <v>0.115</v>
      </c>
      <c r="I126" s="30">
        <f t="shared" si="13"/>
        <v>0</v>
      </c>
      <c r="J126" s="23"/>
      <c r="K126" s="32">
        <v>0.16420000000000001</v>
      </c>
      <c r="L126" s="30">
        <f t="shared" si="15"/>
        <v>0</v>
      </c>
      <c r="M126" s="23"/>
      <c r="N126" s="33"/>
      <c r="O126" s="30">
        <f t="shared" si="17"/>
        <v>0</v>
      </c>
    </row>
    <row r="127" spans="2:17" s="954" customFormat="1" x14ac:dyDescent="0.2">
      <c r="B127" s="21" t="s">
        <v>81</v>
      </c>
      <c r="C127" s="21"/>
      <c r="D127" s="23"/>
      <c r="E127" s="24">
        <v>1.8</v>
      </c>
      <c r="F127" s="30">
        <f t="shared" si="14"/>
        <v>0</v>
      </c>
      <c r="G127" s="23"/>
      <c r="H127" s="31">
        <v>0.12</v>
      </c>
      <c r="I127" s="30">
        <f t="shared" si="13"/>
        <v>0</v>
      </c>
      <c r="J127" s="23"/>
      <c r="K127" s="32">
        <v>0.20269999999999999</v>
      </c>
      <c r="L127" s="30">
        <f t="shared" si="15"/>
        <v>0</v>
      </c>
      <c r="M127" s="23"/>
      <c r="N127" s="33"/>
      <c r="O127" s="30">
        <f t="shared" si="17"/>
        <v>0</v>
      </c>
    </row>
    <row r="128" spans="2:17" s="954" customFormat="1" x14ac:dyDescent="0.2">
      <c r="B128" s="21" t="s">
        <v>82</v>
      </c>
      <c r="C128" s="21"/>
      <c r="D128" s="23"/>
      <c r="E128" s="24">
        <v>2.15</v>
      </c>
      <c r="F128" s="30">
        <f t="shared" si="14"/>
        <v>0</v>
      </c>
      <c r="G128" s="23"/>
      <c r="H128" s="31"/>
      <c r="I128" s="30">
        <f t="shared" si="13"/>
        <v>0</v>
      </c>
      <c r="J128" s="23"/>
      <c r="K128" s="32">
        <v>0.29189999999999999</v>
      </c>
      <c r="L128" s="30">
        <f t="shared" si="15"/>
        <v>0</v>
      </c>
      <c r="M128" s="23"/>
      <c r="N128" s="33"/>
      <c r="O128" s="30">
        <f t="shared" si="17"/>
        <v>0</v>
      </c>
    </row>
    <row r="129" spans="2:15" s="954" customFormat="1" x14ac:dyDescent="0.2">
      <c r="B129" s="21" t="s">
        <v>83</v>
      </c>
      <c r="C129" s="21"/>
      <c r="D129" s="23"/>
      <c r="E129" s="24">
        <v>2.78</v>
      </c>
      <c r="F129" s="30">
        <f t="shared" si="14"/>
        <v>0</v>
      </c>
      <c r="G129" s="23"/>
      <c r="H129" s="31"/>
      <c r="I129" s="30">
        <f t="shared" si="13"/>
        <v>0</v>
      </c>
      <c r="J129" s="23"/>
      <c r="K129" s="32">
        <v>0.45600000000000002</v>
      </c>
      <c r="L129" s="30">
        <f t="shared" si="15"/>
        <v>0</v>
      </c>
      <c r="M129" s="23"/>
      <c r="N129" s="33"/>
      <c r="O129" s="30">
        <f t="shared" si="17"/>
        <v>0</v>
      </c>
    </row>
    <row r="130" spans="2:15" s="954" customFormat="1" x14ac:dyDescent="0.2">
      <c r="B130" s="21" t="s">
        <v>84</v>
      </c>
      <c r="C130" s="21"/>
      <c r="D130" s="23"/>
      <c r="E130" s="24">
        <v>3.72</v>
      </c>
      <c r="F130" s="30">
        <f t="shared" si="14"/>
        <v>0</v>
      </c>
      <c r="G130" s="23"/>
      <c r="H130" s="31"/>
      <c r="I130" s="30">
        <f t="shared" si="13"/>
        <v>0</v>
      </c>
      <c r="J130" s="23"/>
      <c r="K130" s="32">
        <v>0.65669999999999995</v>
      </c>
      <c r="L130" s="30">
        <f t="shared" si="15"/>
        <v>0</v>
      </c>
      <c r="M130" s="23"/>
      <c r="N130" s="33"/>
      <c r="O130" s="30">
        <f t="shared" si="17"/>
        <v>0</v>
      </c>
    </row>
    <row r="131" spans="2:15" s="954" customFormat="1" x14ac:dyDescent="0.2">
      <c r="B131" s="21" t="s">
        <v>85</v>
      </c>
      <c r="C131" s="21"/>
      <c r="D131" s="23"/>
      <c r="E131" s="24">
        <v>3.95</v>
      </c>
      <c r="F131" s="30">
        <f t="shared" si="14"/>
        <v>0</v>
      </c>
      <c r="G131" s="23"/>
      <c r="H131" s="31"/>
      <c r="I131" s="30">
        <f t="shared" si="13"/>
        <v>0</v>
      </c>
      <c r="J131" s="23"/>
      <c r="K131" s="32">
        <v>0.73170000000000002</v>
      </c>
      <c r="L131" s="30">
        <f t="shared" si="15"/>
        <v>0</v>
      </c>
      <c r="M131" s="23"/>
      <c r="N131" s="33"/>
      <c r="O131" s="30">
        <f t="shared" si="17"/>
        <v>0</v>
      </c>
    </row>
    <row r="132" spans="2:15" s="954" customFormat="1" x14ac:dyDescent="0.2">
      <c r="B132" s="21" t="s">
        <v>86</v>
      </c>
      <c r="C132" s="21"/>
      <c r="D132" s="23"/>
      <c r="E132" s="24">
        <v>4.16</v>
      </c>
      <c r="F132" s="30">
        <f t="shared" si="14"/>
        <v>0</v>
      </c>
      <c r="G132" s="23"/>
      <c r="H132" s="31"/>
      <c r="I132" s="30">
        <f t="shared" si="13"/>
        <v>0</v>
      </c>
      <c r="J132" s="23"/>
      <c r="K132" s="32">
        <v>0.81069999999999998</v>
      </c>
      <c r="L132" s="30">
        <f t="shared" si="15"/>
        <v>0</v>
      </c>
      <c r="M132" s="23"/>
      <c r="N132" s="33"/>
      <c r="O132" s="30">
        <f t="shared" si="17"/>
        <v>0</v>
      </c>
    </row>
    <row r="133" spans="2:15" s="954" customFormat="1" ht="13.5" thickBot="1" x14ac:dyDescent="0.25">
      <c r="B133" s="34" t="s">
        <v>87</v>
      </c>
      <c r="C133" s="34"/>
      <c r="D133" s="23"/>
      <c r="E133" s="24">
        <v>4.3600000000000003</v>
      </c>
      <c r="F133" s="30">
        <f t="shared" si="14"/>
        <v>0</v>
      </c>
      <c r="G133" s="23"/>
      <c r="H133" s="31"/>
      <c r="I133" s="30">
        <f t="shared" si="13"/>
        <v>0</v>
      </c>
      <c r="J133" s="23"/>
      <c r="K133" s="32">
        <v>0.89380000000000004</v>
      </c>
      <c r="L133" s="30">
        <f t="shared" si="15"/>
        <v>0</v>
      </c>
      <c r="M133" s="23"/>
      <c r="N133" s="33"/>
      <c r="O133" s="30">
        <f t="shared" si="17"/>
        <v>0</v>
      </c>
    </row>
    <row r="134" spans="2:15" s="954" customFormat="1" ht="16.5" thickBot="1" x14ac:dyDescent="0.3">
      <c r="B134" s="36"/>
      <c r="C134" s="37">
        <f>SUM(C116:C133)</f>
        <v>11444.95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2:15" s="954" customFormat="1" ht="13.5" thickBot="1" x14ac:dyDescent="0.25">
      <c r="B135" s="23"/>
      <c r="C135" s="38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2:15" s="954" customFormat="1" ht="16.5" thickBot="1" x14ac:dyDescent="0.3">
      <c r="B136" s="23"/>
      <c r="C136" s="39" t="s">
        <v>88</v>
      </c>
      <c r="D136" s="40"/>
      <c r="E136" s="41" t="s">
        <v>89</v>
      </c>
      <c r="F136" s="37">
        <f>SUM(F116:F134)</f>
        <v>7914.2615000000005</v>
      </c>
      <c r="G136" s="42"/>
      <c r="H136" s="43" t="s">
        <v>90</v>
      </c>
      <c r="I136" s="37">
        <f>SUM(I116:I134)</f>
        <v>801.14650000000006</v>
      </c>
      <c r="J136" s="44"/>
      <c r="K136" s="41" t="s">
        <v>91</v>
      </c>
      <c r="L136" s="37">
        <f>SUM(L116:L134)</f>
        <v>66.502219999999994</v>
      </c>
      <c r="M136" s="44"/>
      <c r="N136" s="41" t="s">
        <v>92</v>
      </c>
      <c r="O136" s="37">
        <f>(SUM(O116:O134)/6)*0.25</f>
        <v>9.6946635416666673</v>
      </c>
    </row>
    <row r="137" spans="2:15" s="954" customFormat="1" ht="13.5" thickBot="1" x14ac:dyDescent="0.25">
      <c r="B137" s="23"/>
      <c r="C137" s="23"/>
      <c r="D137" s="23"/>
      <c r="E137" s="23"/>
      <c r="F137" s="45"/>
      <c r="G137" s="45"/>
      <c r="H137" s="45"/>
      <c r="I137" s="45"/>
      <c r="J137" s="23"/>
      <c r="K137" s="23"/>
      <c r="L137" s="23"/>
      <c r="M137" s="23"/>
      <c r="N137" s="23"/>
      <c r="O137" s="23"/>
    </row>
    <row r="138" spans="2:15" s="954" customFormat="1" ht="16.5" thickBot="1" x14ac:dyDescent="0.3">
      <c r="B138" s="23"/>
      <c r="C138" s="46" t="s">
        <v>93</v>
      </c>
      <c r="D138" s="47"/>
      <c r="E138" s="47"/>
      <c r="F138" s="47"/>
      <c r="G138" s="47"/>
      <c r="H138" s="47"/>
      <c r="I138" s="48">
        <f>(F136-I136-L136)*0.95</f>
        <v>6694.2821409999997</v>
      </c>
      <c r="J138" s="23"/>
      <c r="K138" s="23"/>
      <c r="L138" s="23"/>
      <c r="M138" s="23"/>
      <c r="N138" s="23"/>
      <c r="O138" s="23"/>
    </row>
    <row r="139" spans="2:15" s="954" customFormat="1" ht="13.5" thickBot="1" x14ac:dyDescent="0.25">
      <c r="B139" s="23"/>
      <c r="C139" s="23"/>
      <c r="D139" s="23"/>
      <c r="E139" s="23"/>
      <c r="F139" s="45"/>
      <c r="G139" s="45"/>
      <c r="H139" s="45"/>
      <c r="I139" s="45"/>
      <c r="J139" s="23"/>
      <c r="K139" s="23"/>
      <c r="L139" s="23"/>
      <c r="M139" s="23"/>
      <c r="N139" s="23"/>
      <c r="O139" s="23"/>
    </row>
    <row r="140" spans="2:15" s="954" customFormat="1" ht="16.5" thickBot="1" x14ac:dyDescent="0.3">
      <c r="B140" s="23"/>
      <c r="C140" s="46" t="s">
        <v>94</v>
      </c>
      <c r="D140" s="49"/>
      <c r="E140" s="49"/>
      <c r="F140" s="49"/>
      <c r="G140" s="49"/>
      <c r="H140" s="49"/>
      <c r="I140" s="48">
        <f>((F136-I138)*1.2)</f>
        <v>1463.9752308000009</v>
      </c>
      <c r="J140" s="23"/>
      <c r="K140" s="23"/>
      <c r="L140" s="23"/>
      <c r="M140" s="23"/>
      <c r="N140" s="23"/>
      <c r="O140" s="23"/>
    </row>
    <row r="141" spans="2:15" s="954" customFormat="1" x14ac:dyDescent="0.2">
      <c r="B141" s="23"/>
      <c r="C141" s="23"/>
      <c r="D141" s="23"/>
      <c r="E141" s="23"/>
      <c r="F141" s="23"/>
      <c r="G141" s="23"/>
      <c r="H141" s="23"/>
      <c r="I141" s="23">
        <f>+L143</f>
        <v>2849.1341400000001</v>
      </c>
      <c r="J141" s="23"/>
      <c r="K141" s="23"/>
      <c r="L141" s="23"/>
      <c r="M141" s="23"/>
      <c r="N141" s="23"/>
      <c r="O141" s="23"/>
    </row>
    <row r="142" spans="2:15" s="954" customFormat="1" ht="18" x14ac:dyDescent="0.25">
      <c r="B142" s="23"/>
      <c r="C142" s="1567" t="s">
        <v>95</v>
      </c>
      <c r="D142" s="1567"/>
      <c r="E142" s="1567"/>
      <c r="F142" s="1567"/>
      <c r="G142" s="23"/>
      <c r="H142" s="23"/>
      <c r="I142" s="23">
        <f>+I140+I141</f>
        <v>4313.1093708000008</v>
      </c>
      <c r="J142" s="23"/>
      <c r="K142" s="23"/>
      <c r="L142" s="23" t="s">
        <v>636</v>
      </c>
      <c r="M142" s="23"/>
      <c r="N142" s="23"/>
      <c r="O142" s="23"/>
    </row>
    <row r="143" spans="2:15" s="954" customFormat="1" ht="13.5" thickBot="1" x14ac:dyDescent="0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>
        <f>+F136*0.3*1.2</f>
        <v>2849.1341400000001</v>
      </c>
      <c r="M143" s="23"/>
      <c r="N143" s="23"/>
      <c r="O143" s="23"/>
    </row>
    <row r="144" spans="2:15" s="954" customFormat="1" ht="13.5" thickBot="1" x14ac:dyDescent="0.25">
      <c r="B144" s="45"/>
      <c r="C144" s="50" t="s">
        <v>96</v>
      </c>
      <c r="D144" s="45"/>
      <c r="E144" s="50" t="s">
        <v>97</v>
      </c>
      <c r="F144" s="51" t="s">
        <v>98</v>
      </c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2:15" s="954" customFormat="1" x14ac:dyDescent="0.2">
      <c r="B145" s="21" t="s">
        <v>71</v>
      </c>
      <c r="C145" s="25"/>
      <c r="D145" s="45"/>
      <c r="E145" s="52">
        <v>0.02</v>
      </c>
      <c r="F145" s="53">
        <f>(E145*C145)+C145</f>
        <v>0</v>
      </c>
      <c r="G145" s="23"/>
      <c r="H145" s="23"/>
      <c r="I145" s="23"/>
      <c r="J145" s="1188" t="s">
        <v>871</v>
      </c>
      <c r="K145" s="23"/>
      <c r="L145" s="23">
        <f>+F136*0.7</f>
        <v>5539.9830499999998</v>
      </c>
      <c r="M145" s="23"/>
      <c r="N145" s="23"/>
      <c r="O145" s="23"/>
    </row>
    <row r="146" spans="2:15" s="954" customFormat="1" x14ac:dyDescent="0.2">
      <c r="B146" s="21" t="s">
        <v>72</v>
      </c>
      <c r="C146" s="25">
        <f>+C118</f>
        <v>7486.25</v>
      </c>
      <c r="D146" s="45"/>
      <c r="E146" s="54">
        <v>0.02</v>
      </c>
      <c r="F146" s="55">
        <f>(E146*C146)+C146</f>
        <v>7635.9750000000004</v>
      </c>
      <c r="G146" s="23"/>
      <c r="H146" s="23"/>
      <c r="I146" s="23"/>
      <c r="J146" s="1188" t="s">
        <v>872</v>
      </c>
      <c r="K146" s="23"/>
      <c r="L146" s="23">
        <f>+F136*0.3</f>
        <v>2374.2784500000002</v>
      </c>
      <c r="M146" s="23"/>
      <c r="N146" s="23"/>
      <c r="O146" s="23"/>
    </row>
    <row r="147" spans="2:15" s="954" customFormat="1" x14ac:dyDescent="0.2">
      <c r="B147" s="21" t="s">
        <v>73</v>
      </c>
      <c r="C147" s="25">
        <f>C119</f>
        <v>3958.7</v>
      </c>
      <c r="D147" s="45"/>
      <c r="E147" s="54">
        <v>0.02</v>
      </c>
      <c r="F147" s="55">
        <f>(E147*C147)+C147</f>
        <v>4037.8739999999998</v>
      </c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2:15" s="954" customFormat="1" x14ac:dyDescent="0.2">
      <c r="B148" s="21" t="s">
        <v>74</v>
      </c>
      <c r="C148" s="25">
        <f>C120</f>
        <v>0</v>
      </c>
      <c r="D148" s="45"/>
      <c r="E148" s="54">
        <v>0.03</v>
      </c>
      <c r="F148" s="55">
        <f>(E148*C148)+C148</f>
        <v>0</v>
      </c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2:15" s="954" customFormat="1" x14ac:dyDescent="0.2">
      <c r="B149" s="21" t="s">
        <v>75</v>
      </c>
      <c r="C149" s="25">
        <f>C121</f>
        <v>0</v>
      </c>
      <c r="D149" s="45"/>
      <c r="E149" s="54">
        <v>0.03</v>
      </c>
      <c r="F149" s="55">
        <f>C149*E149+C149</f>
        <v>0</v>
      </c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2:15" s="954" customFormat="1" x14ac:dyDescent="0.2">
      <c r="B150" s="21" t="s">
        <v>76</v>
      </c>
      <c r="C150" s="25">
        <f t="shared" ref="C150:C161" si="18">C122</f>
        <v>0</v>
      </c>
      <c r="D150" s="45"/>
      <c r="E150" s="54">
        <v>0.04</v>
      </c>
      <c r="F150" s="55">
        <f t="shared" ref="F150:F161" si="19">(E150*C150)+C150</f>
        <v>0</v>
      </c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2:15" s="954" customFormat="1" x14ac:dyDescent="0.2">
      <c r="B151" s="21" t="s">
        <v>77</v>
      </c>
      <c r="C151" s="25">
        <f t="shared" si="18"/>
        <v>0</v>
      </c>
      <c r="D151" s="45"/>
      <c r="E151" s="54">
        <v>0.04</v>
      </c>
      <c r="F151" s="55">
        <f t="shared" si="19"/>
        <v>0</v>
      </c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2:15" s="954" customFormat="1" x14ac:dyDescent="0.2">
      <c r="B152" s="21" t="s">
        <v>78</v>
      </c>
      <c r="C152" s="25">
        <f t="shared" si="18"/>
        <v>0</v>
      </c>
      <c r="D152" s="45"/>
      <c r="E152" s="54">
        <v>0.04</v>
      </c>
      <c r="F152" s="55">
        <f t="shared" si="19"/>
        <v>0</v>
      </c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2:15" s="954" customFormat="1" x14ac:dyDescent="0.2">
      <c r="B153" s="21" t="s">
        <v>79</v>
      </c>
      <c r="C153" s="25">
        <f t="shared" si="18"/>
        <v>0</v>
      </c>
      <c r="D153" s="45"/>
      <c r="E153" s="54">
        <v>0.05</v>
      </c>
      <c r="F153" s="55">
        <f t="shared" si="19"/>
        <v>0</v>
      </c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2:15" s="954" customFormat="1" x14ac:dyDescent="0.2">
      <c r="B154" s="21" t="s">
        <v>80</v>
      </c>
      <c r="C154" s="25">
        <f t="shared" si="18"/>
        <v>0</v>
      </c>
      <c r="D154" s="45"/>
      <c r="E154" s="54">
        <v>0.05</v>
      </c>
      <c r="F154" s="55">
        <f t="shared" si="19"/>
        <v>0</v>
      </c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2:15" s="954" customFormat="1" x14ac:dyDescent="0.2">
      <c r="B155" s="21" t="s">
        <v>81</v>
      </c>
      <c r="C155" s="25">
        <f t="shared" si="18"/>
        <v>0</v>
      </c>
      <c r="D155" s="45"/>
      <c r="E155" s="54">
        <v>0.06</v>
      </c>
      <c r="F155" s="55">
        <f t="shared" si="19"/>
        <v>0</v>
      </c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2:15" s="954" customFormat="1" x14ac:dyDescent="0.2">
      <c r="B156" s="21" t="s">
        <v>82</v>
      </c>
      <c r="C156" s="25">
        <f t="shared" si="18"/>
        <v>0</v>
      </c>
      <c r="D156" s="45"/>
      <c r="E156" s="54">
        <v>7.0000000000000007E-2</v>
      </c>
      <c r="F156" s="55">
        <f t="shared" si="19"/>
        <v>0</v>
      </c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2:15" s="954" customFormat="1" x14ac:dyDescent="0.2">
      <c r="B157" s="21" t="s">
        <v>83</v>
      </c>
      <c r="C157" s="25">
        <f t="shared" si="18"/>
        <v>0</v>
      </c>
      <c r="D157" s="45"/>
      <c r="E157" s="54"/>
      <c r="F157" s="55">
        <f t="shared" si="19"/>
        <v>0</v>
      </c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2:15" s="954" customFormat="1" x14ac:dyDescent="0.2">
      <c r="B158" s="21" t="s">
        <v>84</v>
      </c>
      <c r="C158" s="25">
        <f t="shared" si="18"/>
        <v>0</v>
      </c>
      <c r="D158" s="45"/>
      <c r="E158" s="54"/>
      <c r="F158" s="55">
        <f t="shared" si="19"/>
        <v>0</v>
      </c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2:15" s="954" customFormat="1" x14ac:dyDescent="0.2">
      <c r="B159" s="21" t="s">
        <v>85</v>
      </c>
      <c r="C159" s="25">
        <f t="shared" si="18"/>
        <v>0</v>
      </c>
      <c r="D159" s="45"/>
      <c r="E159" s="54"/>
      <c r="F159" s="55">
        <f t="shared" si="19"/>
        <v>0</v>
      </c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2:15" s="954" customFormat="1" x14ac:dyDescent="0.2">
      <c r="B160" s="21" t="s">
        <v>86</v>
      </c>
      <c r="C160" s="25">
        <f t="shared" si="18"/>
        <v>0</v>
      </c>
      <c r="D160" s="45"/>
      <c r="E160" s="54"/>
      <c r="F160" s="55">
        <f t="shared" si="19"/>
        <v>0</v>
      </c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s="954" customFormat="1" x14ac:dyDescent="0.2">
      <c r="B161" s="21" t="s">
        <v>87</v>
      </c>
      <c r="C161" s="25">
        <f t="shared" si="18"/>
        <v>0</v>
      </c>
      <c r="D161" s="45"/>
      <c r="E161" s="54"/>
      <c r="F161" s="55">
        <f t="shared" si="19"/>
        <v>0</v>
      </c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s="954" customFormat="1" x14ac:dyDescent="0.2"/>
    <row r="163" spans="1:15" s="954" customFormat="1" x14ac:dyDescent="0.2"/>
    <row r="164" spans="1:15" s="954" customFormat="1" x14ac:dyDescent="0.2"/>
    <row r="165" spans="1:15" s="954" customFormat="1" x14ac:dyDescent="0.2"/>
    <row r="166" spans="1:15" s="954" customFormat="1" x14ac:dyDescent="0.2"/>
    <row r="167" spans="1:15" s="954" customFormat="1" x14ac:dyDescent="0.2"/>
    <row r="168" spans="1:15" s="954" customFormat="1" ht="20.25" x14ac:dyDescent="0.3">
      <c r="A168" s="1022"/>
      <c r="B168" s="1021"/>
      <c r="C168" s="1021" t="s">
        <v>641</v>
      </c>
      <c r="D168" s="1021"/>
      <c r="E168" s="1021"/>
      <c r="F168" s="1021"/>
      <c r="G168" s="1021"/>
      <c r="H168" s="1022"/>
      <c r="I168" s="1022"/>
      <c r="J168" s="1022"/>
      <c r="K168" s="1022"/>
      <c r="L168" s="1022"/>
      <c r="M168" s="1022"/>
      <c r="N168" s="1022"/>
      <c r="O168" s="1022"/>
    </row>
    <row r="169" spans="1:15" s="954" customFormat="1" ht="18.75" thickBot="1" x14ac:dyDescent="0.3">
      <c r="A169" s="1022"/>
      <c r="B169" s="14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s="954" customFormat="1" ht="13.5" thickBot="1" x14ac:dyDescent="0.25">
      <c r="A170" s="1022"/>
      <c r="B170" s="14"/>
      <c r="C170" s="14"/>
      <c r="D170" s="14"/>
      <c r="E170" s="1565" t="s">
        <v>63</v>
      </c>
      <c r="F170" s="1566"/>
      <c r="G170" s="16"/>
      <c r="H170" s="1565" t="s">
        <v>64</v>
      </c>
      <c r="I170" s="1566"/>
      <c r="J170" s="16"/>
      <c r="K170" s="1565" t="s">
        <v>65</v>
      </c>
      <c r="L170" s="1566"/>
      <c r="M170" s="16"/>
      <c r="N170" s="1565" t="s">
        <v>66</v>
      </c>
      <c r="O170" s="1566"/>
    </row>
    <row r="171" spans="1:15" s="954" customFormat="1" ht="13.5" thickBot="1" x14ac:dyDescent="0.25">
      <c r="A171" s="1022"/>
      <c r="B171" s="14"/>
      <c r="C171" s="17" t="s">
        <v>67</v>
      </c>
      <c r="D171" s="14"/>
      <c r="E171" s="18" t="s">
        <v>68</v>
      </c>
      <c r="F171" s="19" t="s">
        <v>69</v>
      </c>
      <c r="G171" s="16"/>
      <c r="H171" s="18" t="s">
        <v>68</v>
      </c>
      <c r="I171" s="19" t="s">
        <v>69</v>
      </c>
      <c r="J171" s="16"/>
      <c r="K171" s="18" t="s">
        <v>68</v>
      </c>
      <c r="L171" s="19" t="s">
        <v>69</v>
      </c>
      <c r="M171" s="16"/>
      <c r="N171" s="18" t="s">
        <v>68</v>
      </c>
      <c r="O171" s="19" t="s">
        <v>70</v>
      </c>
    </row>
    <row r="172" spans="1:15" s="954" customFormat="1" x14ac:dyDescent="0.2">
      <c r="A172" s="1022"/>
      <c r="B172" s="21" t="s">
        <v>71</v>
      </c>
      <c r="C172" s="22"/>
      <c r="D172" s="23"/>
      <c r="E172" s="24">
        <v>0.63</v>
      </c>
      <c r="F172" s="25">
        <f>+E172*C172</f>
        <v>0</v>
      </c>
      <c r="G172" s="23"/>
      <c r="H172" s="26">
        <v>0.06</v>
      </c>
      <c r="I172" s="25">
        <f t="shared" ref="I172:I189" si="20">+H172*C172</f>
        <v>0</v>
      </c>
      <c r="J172" s="23"/>
      <c r="K172" s="27">
        <v>2E-3</v>
      </c>
      <c r="L172" s="25">
        <f>+K172*C172</f>
        <v>0</v>
      </c>
      <c r="M172" s="23"/>
      <c r="N172" s="28">
        <v>1.388E-2</v>
      </c>
      <c r="O172" s="25">
        <f>+N172*C172</f>
        <v>0</v>
      </c>
    </row>
    <row r="173" spans="1:15" s="954" customFormat="1" x14ac:dyDescent="0.2">
      <c r="A173" s="1022"/>
      <c r="B173" s="21" t="s">
        <v>71</v>
      </c>
      <c r="C173" s="22"/>
      <c r="D173" s="23"/>
      <c r="E173" s="24">
        <v>0.63</v>
      </c>
      <c r="F173" s="25">
        <f t="shared" ref="F173:F189" si="21">+E173*C173</f>
        <v>0</v>
      </c>
      <c r="G173" s="23"/>
      <c r="H173" s="26">
        <v>0.06</v>
      </c>
      <c r="I173" s="25">
        <f t="shared" si="20"/>
        <v>0</v>
      </c>
      <c r="J173" s="23"/>
      <c r="K173" s="27">
        <v>2E-3</v>
      </c>
      <c r="L173" s="25">
        <f t="shared" ref="L173:L189" si="22">+K173*C173</f>
        <v>0</v>
      </c>
      <c r="M173" s="23"/>
      <c r="N173" s="28">
        <v>1.388E-2</v>
      </c>
      <c r="O173" s="25">
        <f t="shared" ref="O173:O175" si="23">+N173*C173</f>
        <v>0</v>
      </c>
    </row>
    <row r="174" spans="1:15" s="954" customFormat="1" x14ac:dyDescent="0.2">
      <c r="A174" s="1022"/>
      <c r="B174" s="21" t="s">
        <v>72</v>
      </c>
      <c r="C174" s="29"/>
      <c r="D174" s="23"/>
      <c r="E174" s="24">
        <v>0.65</v>
      </c>
      <c r="F174" s="30">
        <f t="shared" si="21"/>
        <v>0</v>
      </c>
      <c r="G174" s="23"/>
      <c r="H174" s="31">
        <v>0.06</v>
      </c>
      <c r="I174" s="30">
        <f t="shared" si="20"/>
        <v>0</v>
      </c>
      <c r="J174" s="23"/>
      <c r="K174" s="32">
        <v>4.5999999999999999E-3</v>
      </c>
      <c r="L174" s="30">
        <f t="shared" si="22"/>
        <v>0</v>
      </c>
      <c r="M174" s="23"/>
      <c r="N174" s="33">
        <v>1.7860000000000001E-2</v>
      </c>
      <c r="O174" s="30">
        <f t="shared" si="23"/>
        <v>0</v>
      </c>
    </row>
    <row r="175" spans="1:15" s="954" customFormat="1" x14ac:dyDescent="0.2">
      <c r="A175" s="1022"/>
      <c r="B175" s="21" t="s">
        <v>73</v>
      </c>
      <c r="C175" s="29"/>
      <c r="D175" s="23"/>
      <c r="E175" s="24">
        <v>0.66</v>
      </c>
      <c r="F175" s="30">
        <f t="shared" si="21"/>
        <v>0</v>
      </c>
      <c r="G175" s="23"/>
      <c r="H175" s="31">
        <v>0.06</v>
      </c>
      <c r="I175" s="30">
        <f t="shared" si="20"/>
        <v>0</v>
      </c>
      <c r="J175" s="23"/>
      <c r="K175" s="32">
        <v>8.0999999999999996E-3</v>
      </c>
      <c r="L175" s="30">
        <f t="shared" si="22"/>
        <v>0</v>
      </c>
      <c r="M175" s="23"/>
      <c r="N175" s="33">
        <v>2.5000000000000001E-2</v>
      </c>
      <c r="O175" s="30">
        <f t="shared" si="23"/>
        <v>0</v>
      </c>
    </row>
    <row r="176" spans="1:15" s="954" customFormat="1" x14ac:dyDescent="0.2">
      <c r="A176" s="1022"/>
      <c r="B176" s="21" t="s">
        <v>74</v>
      </c>
      <c r="C176" s="21">
        <v>17.100000000000001</v>
      </c>
      <c r="D176" s="23"/>
      <c r="E176" s="24">
        <v>0.81</v>
      </c>
      <c r="F176" s="30">
        <f t="shared" si="21"/>
        <v>13.851000000000003</v>
      </c>
      <c r="G176" s="23"/>
      <c r="H176" s="31"/>
      <c r="I176" s="30">
        <f t="shared" si="20"/>
        <v>0</v>
      </c>
      <c r="J176" s="23"/>
      <c r="K176" s="32">
        <v>1.8200000000000001E-2</v>
      </c>
      <c r="L176" s="30">
        <f t="shared" si="22"/>
        <v>0.31122000000000005</v>
      </c>
      <c r="M176" s="23"/>
      <c r="N176" s="33">
        <v>7.8100000000000003E-2</v>
      </c>
      <c r="O176" s="30"/>
    </row>
    <row r="177" spans="1:15" s="954" customFormat="1" x14ac:dyDescent="0.2">
      <c r="A177" s="1022"/>
      <c r="B177" s="21" t="s">
        <v>75</v>
      </c>
      <c r="C177" s="21"/>
      <c r="D177" s="23"/>
      <c r="E177" s="24">
        <v>0.9</v>
      </c>
      <c r="F177" s="30">
        <f t="shared" si="21"/>
        <v>0</v>
      </c>
      <c r="G177" s="23"/>
      <c r="H177" s="31">
        <v>7.4999999999999997E-2</v>
      </c>
      <c r="I177" s="30">
        <f t="shared" si="20"/>
        <v>0</v>
      </c>
      <c r="J177" s="23"/>
      <c r="K177" s="32">
        <v>3.2399999999999998E-2</v>
      </c>
      <c r="L177" s="30">
        <f t="shared" si="22"/>
        <v>0</v>
      </c>
      <c r="M177" s="23"/>
      <c r="N177" s="33">
        <v>0.156</v>
      </c>
      <c r="O177" s="30">
        <f t="shared" ref="O177:O189" si="24">+N177*C177</f>
        <v>0</v>
      </c>
    </row>
    <row r="178" spans="1:15" s="954" customFormat="1" x14ac:dyDescent="0.2">
      <c r="A178" s="1022"/>
      <c r="B178" s="21" t="s">
        <v>76</v>
      </c>
      <c r="C178" s="21"/>
      <c r="D178" s="23"/>
      <c r="E178" s="24">
        <v>1</v>
      </c>
      <c r="F178" s="30">
        <f t="shared" si="21"/>
        <v>0</v>
      </c>
      <c r="G178" s="23"/>
      <c r="H178" s="31">
        <v>0.08</v>
      </c>
      <c r="I178" s="30">
        <f t="shared" si="20"/>
        <v>0</v>
      </c>
      <c r="J178" s="23"/>
      <c r="K178" s="32">
        <v>5.0700000000000002E-2</v>
      </c>
      <c r="L178" s="30">
        <f t="shared" si="22"/>
        <v>0</v>
      </c>
      <c r="M178" s="23"/>
      <c r="N178" s="33">
        <v>0.23430000000000001</v>
      </c>
      <c r="O178" s="30">
        <f t="shared" si="24"/>
        <v>0</v>
      </c>
    </row>
    <row r="179" spans="1:15" s="954" customFormat="1" x14ac:dyDescent="0.2">
      <c r="A179" s="1022"/>
      <c r="B179" s="21" t="s">
        <v>77</v>
      </c>
      <c r="C179" s="21"/>
      <c r="D179" s="23"/>
      <c r="E179" s="24">
        <v>1.1100000000000001</v>
      </c>
      <c r="F179" s="30">
        <f t="shared" si="21"/>
        <v>0</v>
      </c>
      <c r="G179" s="23"/>
      <c r="H179" s="31">
        <v>8.5000000000000006E-2</v>
      </c>
      <c r="I179" s="30">
        <f t="shared" si="20"/>
        <v>0</v>
      </c>
      <c r="J179" s="23"/>
      <c r="K179" s="32">
        <v>7.2999999999999995E-2</v>
      </c>
      <c r="L179" s="30">
        <f t="shared" si="22"/>
        <v>0</v>
      </c>
      <c r="M179" s="23"/>
      <c r="N179" s="33">
        <v>0.3125</v>
      </c>
      <c r="O179" s="30">
        <f t="shared" si="24"/>
        <v>0</v>
      </c>
    </row>
    <row r="180" spans="1:15" s="954" customFormat="1" x14ac:dyDescent="0.2">
      <c r="A180" s="1022"/>
      <c r="B180" s="21" t="s">
        <v>78</v>
      </c>
      <c r="C180" s="21"/>
      <c r="D180" s="23"/>
      <c r="E180" s="24">
        <v>1.22</v>
      </c>
      <c r="F180" s="30">
        <f t="shared" si="21"/>
        <v>0</v>
      </c>
      <c r="G180" s="23"/>
      <c r="H180" s="31">
        <v>0.09</v>
      </c>
      <c r="I180" s="30">
        <f t="shared" si="20"/>
        <v>0</v>
      </c>
      <c r="J180" s="23"/>
      <c r="K180" s="32">
        <v>9.9299999999999999E-2</v>
      </c>
      <c r="L180" s="30">
        <f t="shared" si="22"/>
        <v>0</v>
      </c>
      <c r="M180" s="23"/>
      <c r="N180" s="33"/>
      <c r="O180" s="30">
        <f t="shared" si="24"/>
        <v>0</v>
      </c>
    </row>
    <row r="181" spans="1:15" s="954" customFormat="1" x14ac:dyDescent="0.2">
      <c r="A181" s="1022"/>
      <c r="B181" s="21" t="s">
        <v>79</v>
      </c>
      <c r="C181" s="21"/>
      <c r="D181" s="23"/>
      <c r="E181" s="24">
        <v>1.4</v>
      </c>
      <c r="F181" s="30">
        <f t="shared" si="21"/>
        <v>0</v>
      </c>
      <c r="G181" s="23"/>
      <c r="H181" s="31">
        <v>0.1</v>
      </c>
      <c r="I181" s="30">
        <f t="shared" si="20"/>
        <v>0</v>
      </c>
      <c r="J181" s="23"/>
      <c r="K181" s="32">
        <v>0.12970000000000001</v>
      </c>
      <c r="L181" s="30">
        <f t="shared" si="22"/>
        <v>0</v>
      </c>
      <c r="M181" s="23"/>
      <c r="N181" s="33">
        <v>0.41660000000000003</v>
      </c>
      <c r="O181" s="30">
        <f t="shared" si="24"/>
        <v>0</v>
      </c>
    </row>
    <row r="182" spans="1:15" s="954" customFormat="1" x14ac:dyDescent="0.2">
      <c r="A182" s="1022"/>
      <c r="B182" s="21" t="s">
        <v>80</v>
      </c>
      <c r="C182" s="21"/>
      <c r="D182" s="23"/>
      <c r="E182" s="24">
        <v>1.67</v>
      </c>
      <c r="F182" s="30">
        <f t="shared" si="21"/>
        <v>0</v>
      </c>
      <c r="G182" s="23"/>
      <c r="H182" s="31">
        <v>0.115</v>
      </c>
      <c r="I182" s="30">
        <f t="shared" si="20"/>
        <v>0</v>
      </c>
      <c r="J182" s="23"/>
      <c r="K182" s="32">
        <v>0.16420000000000001</v>
      </c>
      <c r="L182" s="30">
        <f t="shared" si="22"/>
        <v>0</v>
      </c>
      <c r="M182" s="23"/>
      <c r="N182" s="33"/>
      <c r="O182" s="30">
        <f t="shared" si="24"/>
        <v>0</v>
      </c>
    </row>
    <row r="183" spans="1:15" s="954" customFormat="1" x14ac:dyDescent="0.2">
      <c r="A183" s="1022"/>
      <c r="B183" s="21" t="s">
        <v>81</v>
      </c>
      <c r="C183" s="21"/>
      <c r="D183" s="23"/>
      <c r="E183" s="24">
        <v>1.8</v>
      </c>
      <c r="F183" s="30">
        <f t="shared" si="21"/>
        <v>0</v>
      </c>
      <c r="G183" s="23"/>
      <c r="H183" s="31">
        <v>0.12</v>
      </c>
      <c r="I183" s="30">
        <f t="shared" si="20"/>
        <v>0</v>
      </c>
      <c r="J183" s="23"/>
      <c r="K183" s="32">
        <v>0.20269999999999999</v>
      </c>
      <c r="L183" s="30">
        <f t="shared" si="22"/>
        <v>0</v>
      </c>
      <c r="M183" s="23"/>
      <c r="N183" s="33"/>
      <c r="O183" s="30">
        <f t="shared" si="24"/>
        <v>0</v>
      </c>
    </row>
    <row r="184" spans="1:15" s="954" customFormat="1" x14ac:dyDescent="0.2">
      <c r="A184" s="1022"/>
      <c r="B184" s="21" t="s">
        <v>82</v>
      </c>
      <c r="C184" s="21"/>
      <c r="D184" s="23"/>
      <c r="E184" s="24">
        <v>2.15</v>
      </c>
      <c r="F184" s="30">
        <f t="shared" si="21"/>
        <v>0</v>
      </c>
      <c r="G184" s="23"/>
      <c r="H184" s="31"/>
      <c r="I184" s="30">
        <f t="shared" si="20"/>
        <v>0</v>
      </c>
      <c r="J184" s="23"/>
      <c r="K184" s="32">
        <v>0.29189999999999999</v>
      </c>
      <c r="L184" s="30">
        <f t="shared" si="22"/>
        <v>0</v>
      </c>
      <c r="M184" s="23"/>
      <c r="N184" s="33"/>
      <c r="O184" s="30">
        <f t="shared" si="24"/>
        <v>0</v>
      </c>
    </row>
    <row r="185" spans="1:15" s="954" customFormat="1" x14ac:dyDescent="0.2">
      <c r="A185" s="1022"/>
      <c r="B185" s="21" t="s">
        <v>83</v>
      </c>
      <c r="C185" s="21"/>
      <c r="D185" s="23"/>
      <c r="E185" s="24">
        <v>2.78</v>
      </c>
      <c r="F185" s="30">
        <f t="shared" si="21"/>
        <v>0</v>
      </c>
      <c r="G185" s="23"/>
      <c r="H185" s="31"/>
      <c r="I185" s="30">
        <f t="shared" si="20"/>
        <v>0</v>
      </c>
      <c r="J185" s="23"/>
      <c r="K185" s="32">
        <v>0.45600000000000002</v>
      </c>
      <c r="L185" s="30">
        <f t="shared" si="22"/>
        <v>0</v>
      </c>
      <c r="M185" s="23"/>
      <c r="N185" s="33"/>
      <c r="O185" s="30">
        <f t="shared" si="24"/>
        <v>0</v>
      </c>
    </row>
    <row r="186" spans="1:15" s="954" customFormat="1" x14ac:dyDescent="0.2">
      <c r="A186" s="1022"/>
      <c r="B186" s="21" t="s">
        <v>84</v>
      </c>
      <c r="C186" s="21"/>
      <c r="D186" s="23"/>
      <c r="E186" s="24">
        <v>3.72</v>
      </c>
      <c r="F186" s="30">
        <f t="shared" si="21"/>
        <v>0</v>
      </c>
      <c r="G186" s="23"/>
      <c r="H186" s="31"/>
      <c r="I186" s="30">
        <f t="shared" si="20"/>
        <v>0</v>
      </c>
      <c r="J186" s="23"/>
      <c r="K186" s="32">
        <v>0.65669999999999995</v>
      </c>
      <c r="L186" s="30">
        <f t="shared" si="22"/>
        <v>0</v>
      </c>
      <c r="M186" s="23"/>
      <c r="N186" s="33"/>
      <c r="O186" s="30">
        <f t="shared" si="24"/>
        <v>0</v>
      </c>
    </row>
    <row r="187" spans="1:15" s="954" customFormat="1" x14ac:dyDescent="0.2">
      <c r="A187" s="1022"/>
      <c r="B187" s="21" t="s">
        <v>85</v>
      </c>
      <c r="C187" s="21"/>
      <c r="D187" s="23"/>
      <c r="E187" s="24">
        <v>3.95</v>
      </c>
      <c r="F187" s="30">
        <f t="shared" si="21"/>
        <v>0</v>
      </c>
      <c r="G187" s="23"/>
      <c r="H187" s="31"/>
      <c r="I187" s="30">
        <f t="shared" si="20"/>
        <v>0</v>
      </c>
      <c r="J187" s="23"/>
      <c r="K187" s="32">
        <v>0.73170000000000002</v>
      </c>
      <c r="L187" s="30">
        <f t="shared" si="22"/>
        <v>0</v>
      </c>
      <c r="M187" s="23"/>
      <c r="N187" s="33"/>
      <c r="O187" s="30">
        <f t="shared" si="24"/>
        <v>0</v>
      </c>
    </row>
    <row r="188" spans="1:15" s="954" customFormat="1" x14ac:dyDescent="0.2">
      <c r="A188" s="1022"/>
      <c r="B188" s="21" t="s">
        <v>86</v>
      </c>
      <c r="C188" s="21"/>
      <c r="D188" s="23"/>
      <c r="E188" s="24">
        <v>4.16</v>
      </c>
      <c r="F188" s="30">
        <f t="shared" si="21"/>
        <v>0</v>
      </c>
      <c r="G188" s="23"/>
      <c r="H188" s="31"/>
      <c r="I188" s="30">
        <f t="shared" si="20"/>
        <v>0</v>
      </c>
      <c r="J188" s="23"/>
      <c r="K188" s="32">
        <v>0.81069999999999998</v>
      </c>
      <c r="L188" s="30">
        <f t="shared" si="22"/>
        <v>0</v>
      </c>
      <c r="M188" s="23"/>
      <c r="N188" s="33"/>
      <c r="O188" s="30">
        <f t="shared" si="24"/>
        <v>0</v>
      </c>
    </row>
    <row r="189" spans="1:15" s="954" customFormat="1" ht="13.5" thickBot="1" x14ac:dyDescent="0.25">
      <c r="A189" s="1022"/>
      <c r="B189" s="34" t="s">
        <v>87</v>
      </c>
      <c r="C189" s="34"/>
      <c r="D189" s="23"/>
      <c r="E189" s="24">
        <v>4.3600000000000003</v>
      </c>
      <c r="F189" s="30">
        <f t="shared" si="21"/>
        <v>0</v>
      </c>
      <c r="G189" s="23"/>
      <c r="H189" s="31"/>
      <c r="I189" s="30">
        <f t="shared" si="20"/>
        <v>0</v>
      </c>
      <c r="J189" s="23"/>
      <c r="K189" s="32">
        <v>0.89380000000000004</v>
      </c>
      <c r="L189" s="30">
        <f t="shared" si="22"/>
        <v>0</v>
      </c>
      <c r="M189" s="23"/>
      <c r="N189" s="33"/>
      <c r="O189" s="30">
        <f t="shared" si="24"/>
        <v>0</v>
      </c>
    </row>
    <row r="190" spans="1:15" s="954" customFormat="1" ht="16.5" thickBot="1" x14ac:dyDescent="0.3">
      <c r="A190" s="1022"/>
      <c r="B190" s="36"/>
      <c r="C190" s="37">
        <f>SUM(C172:C189)</f>
        <v>17.100000000000001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1:15" s="954" customFormat="1" ht="13.5" thickBot="1" x14ac:dyDescent="0.25">
      <c r="A191" s="1022"/>
      <c r="B191" s="23"/>
      <c r="C191" s="38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1:15" s="954" customFormat="1" ht="16.5" thickBot="1" x14ac:dyDescent="0.3">
      <c r="A192" s="1022"/>
      <c r="B192" s="23"/>
      <c r="C192" s="39" t="s">
        <v>88</v>
      </c>
      <c r="D192" s="40"/>
      <c r="E192" s="41" t="s">
        <v>89</v>
      </c>
      <c r="F192" s="37">
        <f>SUM(F172:F190)</f>
        <v>13.851000000000003</v>
      </c>
      <c r="G192" s="42"/>
      <c r="H192" s="43" t="s">
        <v>90</v>
      </c>
      <c r="I192" s="37">
        <f>SUM(I172:I190)</f>
        <v>0</v>
      </c>
      <c r="J192" s="44"/>
      <c r="K192" s="41" t="s">
        <v>91</v>
      </c>
      <c r="L192" s="37">
        <f>SUM(L172:L190)</f>
        <v>0.31122000000000005</v>
      </c>
      <c r="M192" s="44"/>
      <c r="N192" s="41" t="s">
        <v>92</v>
      </c>
      <c r="O192" s="37">
        <f>(SUM(O172:O190)/6)*0.25</f>
        <v>0</v>
      </c>
    </row>
    <row r="193" spans="1:15" s="954" customFormat="1" ht="13.5" thickBot="1" x14ac:dyDescent="0.25">
      <c r="A193" s="1022"/>
      <c r="B193" s="23"/>
      <c r="C193" s="23"/>
      <c r="D193" s="23"/>
      <c r="E193" s="23"/>
      <c r="F193" s="45"/>
      <c r="G193" s="45"/>
      <c r="H193" s="45"/>
      <c r="I193" s="45"/>
      <c r="J193" s="23"/>
      <c r="K193" s="23"/>
      <c r="L193" s="23"/>
      <c r="M193" s="23"/>
      <c r="N193" s="23"/>
      <c r="O193" s="23"/>
    </row>
    <row r="194" spans="1:15" s="954" customFormat="1" ht="16.5" thickBot="1" x14ac:dyDescent="0.3">
      <c r="A194" s="1022"/>
      <c r="B194" s="23"/>
      <c r="C194" s="46" t="s">
        <v>93</v>
      </c>
      <c r="D194" s="47"/>
      <c r="E194" s="47"/>
      <c r="F194" s="47"/>
      <c r="G194" s="47"/>
      <c r="H194" s="47"/>
      <c r="I194" s="48">
        <f>(F192-I192-L192)*0.95</f>
        <v>12.862791000000001</v>
      </c>
      <c r="J194" s="23"/>
      <c r="K194" s="23"/>
      <c r="L194" s="23"/>
      <c r="M194" s="23"/>
      <c r="N194" s="23"/>
      <c r="O194" s="23"/>
    </row>
    <row r="195" spans="1:15" s="954" customFormat="1" ht="13.5" thickBot="1" x14ac:dyDescent="0.25">
      <c r="A195" s="1022"/>
      <c r="B195" s="23"/>
      <c r="C195" s="23"/>
      <c r="D195" s="23"/>
      <c r="E195" s="23"/>
      <c r="F195" s="45"/>
      <c r="G195" s="45"/>
      <c r="H195" s="45"/>
      <c r="I195" s="45"/>
      <c r="J195" s="23"/>
      <c r="K195" s="23"/>
      <c r="L195" s="23"/>
      <c r="M195" s="23"/>
      <c r="N195" s="23"/>
      <c r="O195" s="23"/>
    </row>
    <row r="196" spans="1:15" s="954" customFormat="1" ht="16.5" thickBot="1" x14ac:dyDescent="0.3">
      <c r="A196" s="1022"/>
      <c r="B196" s="23"/>
      <c r="C196" s="46" t="s">
        <v>94</v>
      </c>
      <c r="D196" s="49"/>
      <c r="E196" s="49"/>
      <c r="F196" s="49"/>
      <c r="G196" s="49"/>
      <c r="H196" s="49"/>
      <c r="I196" s="48">
        <f>((F192-I194)*1.2)</f>
        <v>1.1858508000000014</v>
      </c>
      <c r="J196" s="23"/>
      <c r="K196" s="23"/>
      <c r="L196" s="23"/>
      <c r="M196" s="23"/>
      <c r="N196" s="23"/>
      <c r="O196" s="23"/>
    </row>
    <row r="197" spans="1:15" s="954" customFormat="1" x14ac:dyDescent="0.2">
      <c r="A197" s="1022"/>
      <c r="B197" s="23"/>
      <c r="C197" s="23"/>
      <c r="D197" s="23"/>
      <c r="E197" s="23"/>
      <c r="F197" s="23"/>
      <c r="G197" s="23"/>
      <c r="H197" s="23"/>
      <c r="I197" s="23">
        <f>+L199</f>
        <v>4.1553000000000004</v>
      </c>
      <c r="J197" s="23"/>
      <c r="K197" s="23"/>
      <c r="L197" s="23"/>
      <c r="M197" s="23"/>
      <c r="N197" s="23"/>
      <c r="O197" s="23"/>
    </row>
    <row r="198" spans="1:15" s="954" customFormat="1" ht="18" x14ac:dyDescent="0.25">
      <c r="A198" s="1022"/>
      <c r="B198" s="23"/>
      <c r="C198" s="1567" t="s">
        <v>95</v>
      </c>
      <c r="D198" s="1567"/>
      <c r="E198" s="1567"/>
      <c r="F198" s="1567"/>
      <c r="G198" s="23"/>
      <c r="H198" s="23"/>
      <c r="I198" s="23">
        <f>+I196+I197</f>
        <v>5.3411508000000021</v>
      </c>
      <c r="J198" s="23"/>
      <c r="K198" s="23"/>
      <c r="L198" s="23" t="s">
        <v>636</v>
      </c>
      <c r="M198" s="23"/>
      <c r="N198" s="23"/>
      <c r="O198" s="23"/>
    </row>
    <row r="199" spans="1:15" s="954" customFormat="1" ht="13.5" thickBot="1" x14ac:dyDescent="0.25">
      <c r="A199" s="10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>
        <f>+F192*0.3</f>
        <v>4.1553000000000004</v>
      </c>
      <c r="M199" s="23"/>
      <c r="N199" s="23"/>
      <c r="O199" s="23"/>
    </row>
    <row r="200" spans="1:15" s="1022" customFormat="1" ht="13.5" thickBot="1" x14ac:dyDescent="0.25">
      <c r="B200" s="45"/>
      <c r="C200" s="50" t="s">
        <v>96</v>
      </c>
      <c r="D200" s="45"/>
      <c r="E200" s="50" t="s">
        <v>97</v>
      </c>
      <c r="F200" s="51" t="s">
        <v>98</v>
      </c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1:15" s="1022" customFormat="1" x14ac:dyDescent="0.2">
      <c r="B201" s="21" t="s">
        <v>71</v>
      </c>
      <c r="C201" s="25"/>
      <c r="D201" s="45"/>
      <c r="E201" s="52">
        <v>0.02</v>
      </c>
      <c r="F201" s="53">
        <f>(E201*C201)+C201</f>
        <v>0</v>
      </c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1:15" s="1022" customFormat="1" x14ac:dyDescent="0.2">
      <c r="B202" s="21" t="s">
        <v>72</v>
      </c>
      <c r="C202" s="25">
        <f>+C174</f>
        <v>0</v>
      </c>
      <c r="D202" s="45"/>
      <c r="E202" s="54">
        <v>0.02</v>
      </c>
      <c r="F202" s="55">
        <f>(E202*C202)+C202</f>
        <v>0</v>
      </c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1:15" s="1022" customFormat="1" x14ac:dyDescent="0.2">
      <c r="B203" s="21" t="s">
        <v>73</v>
      </c>
      <c r="C203" s="25">
        <f>C175</f>
        <v>0</v>
      </c>
      <c r="D203" s="45"/>
      <c r="E203" s="54">
        <v>0.02</v>
      </c>
      <c r="F203" s="55">
        <f>(E203*C203)+C203</f>
        <v>0</v>
      </c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1:15" s="1022" customFormat="1" x14ac:dyDescent="0.2">
      <c r="B204" s="21" t="s">
        <v>74</v>
      </c>
      <c r="C204" s="25">
        <f>C176</f>
        <v>17.100000000000001</v>
      </c>
      <c r="D204" s="45"/>
      <c r="E204" s="54">
        <v>0.03</v>
      </c>
      <c r="F204" s="55">
        <f>(E204*C204)+C204</f>
        <v>17.613000000000003</v>
      </c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1:15" s="1022" customFormat="1" x14ac:dyDescent="0.2">
      <c r="B205" s="21" t="s">
        <v>75</v>
      </c>
      <c r="C205" s="25">
        <f>C177</f>
        <v>0</v>
      </c>
      <c r="D205" s="45"/>
      <c r="E205" s="54">
        <v>0.03</v>
      </c>
      <c r="F205" s="55">
        <f>C205*E205+C205</f>
        <v>0</v>
      </c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1:15" s="1022" customFormat="1" x14ac:dyDescent="0.2">
      <c r="B206" s="21" t="s">
        <v>76</v>
      </c>
      <c r="C206" s="25">
        <f t="shared" ref="C206:C217" si="25">C178</f>
        <v>0</v>
      </c>
      <c r="D206" s="45"/>
      <c r="E206" s="54">
        <v>0.04</v>
      </c>
      <c r="F206" s="55">
        <f t="shared" ref="F206:F217" si="26">(E206*C206)+C206</f>
        <v>0</v>
      </c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1:15" s="1022" customFormat="1" x14ac:dyDescent="0.2">
      <c r="B207" s="21" t="s">
        <v>77</v>
      </c>
      <c r="C207" s="25">
        <f t="shared" si="25"/>
        <v>0</v>
      </c>
      <c r="D207" s="45"/>
      <c r="E207" s="54">
        <v>0.04</v>
      </c>
      <c r="F207" s="55">
        <f t="shared" si="26"/>
        <v>0</v>
      </c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1:15" s="1022" customFormat="1" x14ac:dyDescent="0.2">
      <c r="B208" s="21" t="s">
        <v>78</v>
      </c>
      <c r="C208" s="25">
        <f t="shared" si="25"/>
        <v>0</v>
      </c>
      <c r="D208" s="45"/>
      <c r="E208" s="54">
        <v>0.04</v>
      </c>
      <c r="F208" s="55">
        <f t="shared" si="26"/>
        <v>0</v>
      </c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1:15" s="1022" customFormat="1" x14ac:dyDescent="0.2">
      <c r="B209" s="21" t="s">
        <v>79</v>
      </c>
      <c r="C209" s="25">
        <f t="shared" si="25"/>
        <v>0</v>
      </c>
      <c r="D209" s="45"/>
      <c r="E209" s="54">
        <v>0.05</v>
      </c>
      <c r="F209" s="55">
        <f t="shared" si="26"/>
        <v>0</v>
      </c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1:15" s="1022" customFormat="1" x14ac:dyDescent="0.2">
      <c r="B210" s="21" t="s">
        <v>80</v>
      </c>
      <c r="C210" s="25">
        <f t="shared" si="25"/>
        <v>0</v>
      </c>
      <c r="D210" s="45"/>
      <c r="E210" s="54">
        <v>0.05</v>
      </c>
      <c r="F210" s="55">
        <f t="shared" si="26"/>
        <v>0</v>
      </c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1:15" s="1022" customFormat="1" x14ac:dyDescent="0.2">
      <c r="B211" s="21" t="s">
        <v>81</v>
      </c>
      <c r="C211" s="25">
        <f t="shared" si="25"/>
        <v>0</v>
      </c>
      <c r="D211" s="45"/>
      <c r="E211" s="54">
        <v>0.06</v>
      </c>
      <c r="F211" s="55">
        <f t="shared" si="26"/>
        <v>0</v>
      </c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1:15" s="1022" customFormat="1" x14ac:dyDescent="0.2">
      <c r="B212" s="21" t="s">
        <v>82</v>
      </c>
      <c r="C212" s="25">
        <f t="shared" si="25"/>
        <v>0</v>
      </c>
      <c r="D212" s="45"/>
      <c r="E212" s="54">
        <v>7.0000000000000007E-2</v>
      </c>
      <c r="F212" s="55">
        <f t="shared" si="26"/>
        <v>0</v>
      </c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1:15" s="1022" customFormat="1" x14ac:dyDescent="0.2">
      <c r="B213" s="21" t="s">
        <v>83</v>
      </c>
      <c r="C213" s="25">
        <f t="shared" si="25"/>
        <v>0</v>
      </c>
      <c r="D213" s="45"/>
      <c r="E213" s="54"/>
      <c r="F213" s="55">
        <f t="shared" si="26"/>
        <v>0</v>
      </c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1:15" s="1022" customFormat="1" x14ac:dyDescent="0.2">
      <c r="B214" s="21" t="s">
        <v>84</v>
      </c>
      <c r="C214" s="25">
        <f t="shared" si="25"/>
        <v>0</v>
      </c>
      <c r="D214" s="45"/>
      <c r="E214" s="54"/>
      <c r="F214" s="55">
        <f t="shared" si="26"/>
        <v>0</v>
      </c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1:15" s="1022" customFormat="1" x14ac:dyDescent="0.2">
      <c r="B215" s="21" t="s">
        <v>85</v>
      </c>
      <c r="C215" s="25">
        <f t="shared" si="25"/>
        <v>0</v>
      </c>
      <c r="D215" s="45"/>
      <c r="E215" s="54"/>
      <c r="F215" s="55">
        <f t="shared" si="26"/>
        <v>0</v>
      </c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1:15" s="1022" customFormat="1" x14ac:dyDescent="0.2">
      <c r="B216" s="21" t="s">
        <v>86</v>
      </c>
      <c r="C216" s="25">
        <f t="shared" si="25"/>
        <v>0</v>
      </c>
      <c r="D216" s="45"/>
      <c r="E216" s="54"/>
      <c r="F216" s="55">
        <f t="shared" si="26"/>
        <v>0</v>
      </c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1:15" s="1022" customFormat="1" x14ac:dyDescent="0.2">
      <c r="B217" s="21" t="s">
        <v>87</v>
      </c>
      <c r="C217" s="25">
        <f t="shared" si="25"/>
        <v>0</v>
      </c>
      <c r="D217" s="45"/>
      <c r="E217" s="54"/>
      <c r="F217" s="55">
        <f t="shared" si="26"/>
        <v>0</v>
      </c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1:15" s="1022" customFormat="1" x14ac:dyDescent="0.2"/>
    <row r="219" spans="1:15" s="1022" customFormat="1" ht="20.25" x14ac:dyDescent="0.3">
      <c r="A219" s="1538"/>
      <c r="B219" s="1537"/>
      <c r="C219" s="1537" t="s">
        <v>641</v>
      </c>
      <c r="D219" s="1537"/>
      <c r="E219" s="1537" t="s">
        <v>929</v>
      </c>
      <c r="F219" s="1537"/>
      <c r="G219" s="1537"/>
      <c r="H219" s="654"/>
      <c r="I219" s="1538"/>
      <c r="J219" s="1538"/>
      <c r="K219" s="1538"/>
      <c r="L219" s="1538"/>
      <c r="M219" s="1538"/>
      <c r="N219" s="1538"/>
      <c r="O219" s="1538"/>
    </row>
    <row r="220" spans="1:15" s="1022" customFormat="1" ht="18.75" thickBot="1" x14ac:dyDescent="0.3">
      <c r="A220" s="1538"/>
      <c r="B220" s="14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1:15" s="1022" customFormat="1" ht="13.5" thickBot="1" x14ac:dyDescent="0.25">
      <c r="A221" s="1538"/>
      <c r="B221" s="14"/>
      <c r="C221" s="14"/>
      <c r="D221" s="14"/>
      <c r="E221" s="1565" t="s">
        <v>63</v>
      </c>
      <c r="F221" s="1566"/>
      <c r="G221" s="16"/>
      <c r="H221" s="1565" t="s">
        <v>64</v>
      </c>
      <c r="I221" s="1566"/>
      <c r="J221" s="16"/>
      <c r="K221" s="1565" t="s">
        <v>65</v>
      </c>
      <c r="L221" s="1566"/>
      <c r="M221" s="16"/>
      <c r="N221" s="1565" t="s">
        <v>66</v>
      </c>
      <c r="O221" s="1566"/>
    </row>
    <row r="222" spans="1:15" s="1022" customFormat="1" ht="13.5" thickBot="1" x14ac:dyDescent="0.25">
      <c r="A222" s="1538"/>
      <c r="B222" s="14"/>
      <c r="C222" s="17" t="s">
        <v>67</v>
      </c>
      <c r="D222" s="14"/>
      <c r="E222" s="18" t="s">
        <v>68</v>
      </c>
      <c r="F222" s="19" t="s">
        <v>69</v>
      </c>
      <c r="G222" s="16"/>
      <c r="H222" s="18" t="s">
        <v>68</v>
      </c>
      <c r="I222" s="19" t="s">
        <v>69</v>
      </c>
      <c r="J222" s="16"/>
      <c r="K222" s="18" t="s">
        <v>68</v>
      </c>
      <c r="L222" s="19" t="s">
        <v>69</v>
      </c>
      <c r="M222" s="16"/>
      <c r="N222" s="18" t="s">
        <v>68</v>
      </c>
      <c r="O222" s="19" t="s">
        <v>70</v>
      </c>
    </row>
    <row r="223" spans="1:15" s="1022" customFormat="1" x14ac:dyDescent="0.2">
      <c r="A223" s="1538"/>
      <c r="B223" s="21" t="s">
        <v>71</v>
      </c>
      <c r="C223" s="22"/>
      <c r="D223" s="23"/>
      <c r="E223" s="24">
        <v>0.63</v>
      </c>
      <c r="F223" s="25">
        <f>+E223*C223</f>
        <v>0</v>
      </c>
      <c r="G223" s="23"/>
      <c r="H223" s="26">
        <v>0.06</v>
      </c>
      <c r="I223" s="25">
        <f t="shared" ref="I223:I240" si="27">+H223*C223</f>
        <v>0</v>
      </c>
      <c r="J223" s="23"/>
      <c r="K223" s="27">
        <v>2E-3</v>
      </c>
      <c r="L223" s="25">
        <f>+K223*C223</f>
        <v>0</v>
      </c>
      <c r="M223" s="23"/>
      <c r="N223" s="28">
        <v>1.388E-2</v>
      </c>
      <c r="O223" s="25">
        <f>+N223*C223</f>
        <v>0</v>
      </c>
    </row>
    <row r="224" spans="1:15" s="1022" customFormat="1" x14ac:dyDescent="0.2">
      <c r="A224" s="1538"/>
      <c r="B224" s="21" t="s">
        <v>71</v>
      </c>
      <c r="C224" s="22"/>
      <c r="D224" s="23"/>
      <c r="E224" s="24">
        <v>0.63</v>
      </c>
      <c r="F224" s="25">
        <f t="shared" ref="F224:F240" si="28">+E224*C224</f>
        <v>0</v>
      </c>
      <c r="G224" s="23"/>
      <c r="H224" s="26">
        <v>0.06</v>
      </c>
      <c r="I224" s="25">
        <f t="shared" si="27"/>
        <v>0</v>
      </c>
      <c r="J224" s="23"/>
      <c r="K224" s="27">
        <v>2E-3</v>
      </c>
      <c r="L224" s="25">
        <f t="shared" ref="L224:L240" si="29">+K224*C224</f>
        <v>0</v>
      </c>
      <c r="M224" s="23"/>
      <c r="N224" s="28">
        <v>1.388E-2</v>
      </c>
      <c r="O224" s="25">
        <f t="shared" ref="O224:O226" si="30">+N224*C224</f>
        <v>0</v>
      </c>
    </row>
    <row r="225" spans="1:15" s="1022" customFormat="1" x14ac:dyDescent="0.2">
      <c r="A225" s="1538"/>
      <c r="B225" s="21" t="s">
        <v>72</v>
      </c>
      <c r="C225" s="1554">
        <f>3969.76-10</f>
        <v>3959.76</v>
      </c>
      <c r="D225" s="23"/>
      <c r="E225" s="24">
        <v>0.65</v>
      </c>
      <c r="F225" s="30">
        <f t="shared" si="28"/>
        <v>2573.8440000000001</v>
      </c>
      <c r="G225" s="23"/>
      <c r="H225" s="31">
        <v>7.0000000000000007E-2</v>
      </c>
      <c r="I225" s="30">
        <f t="shared" si="27"/>
        <v>277.18320000000006</v>
      </c>
      <c r="J225" s="23"/>
      <c r="K225" s="32">
        <v>4.5999999999999999E-3</v>
      </c>
      <c r="L225" s="30">
        <f t="shared" si="29"/>
        <v>18.214896</v>
      </c>
      <c r="M225" s="23"/>
      <c r="N225" s="33">
        <v>1.7860000000000001E-2</v>
      </c>
      <c r="O225" s="30">
        <f t="shared" si="30"/>
        <v>70.721313600000002</v>
      </c>
    </row>
    <row r="226" spans="1:15" s="1022" customFormat="1" x14ac:dyDescent="0.2">
      <c r="A226" s="1538"/>
      <c r="B226" s="21" t="s">
        <v>73</v>
      </c>
      <c r="C226" s="29">
        <v>1427.96</v>
      </c>
      <c r="D226" s="23"/>
      <c r="E226" s="24">
        <v>0.77</v>
      </c>
      <c r="F226" s="30">
        <f t="shared" si="28"/>
        <v>1099.5291999999999</v>
      </c>
      <c r="G226" s="23"/>
      <c r="H226" s="31">
        <v>7.0000000000000007E-2</v>
      </c>
      <c r="I226" s="30">
        <f t="shared" si="27"/>
        <v>99.957200000000014</v>
      </c>
      <c r="J226" s="23"/>
      <c r="K226" s="32">
        <v>8.0999999999999996E-3</v>
      </c>
      <c r="L226" s="30">
        <f t="shared" si="29"/>
        <v>11.566476</v>
      </c>
      <c r="M226" s="23"/>
      <c r="N226" s="33">
        <v>2.5000000000000001E-2</v>
      </c>
      <c r="O226" s="30">
        <f t="shared" si="30"/>
        <v>35.699000000000005</v>
      </c>
    </row>
    <row r="227" spans="1:15" s="1022" customFormat="1" x14ac:dyDescent="0.2">
      <c r="A227" s="1538"/>
      <c r="B227" s="21" t="s">
        <v>74</v>
      </c>
      <c r="C227" s="21"/>
      <c r="D227" s="23"/>
      <c r="E227" s="24">
        <v>0.81</v>
      </c>
      <c r="F227" s="30">
        <f t="shared" si="28"/>
        <v>0</v>
      </c>
      <c r="G227" s="23"/>
      <c r="H227" s="31">
        <v>7.0000000000000007E-2</v>
      </c>
      <c r="I227" s="30">
        <f t="shared" si="27"/>
        <v>0</v>
      </c>
      <c r="J227" s="23"/>
      <c r="K227" s="32">
        <v>1.8200000000000001E-2</v>
      </c>
      <c r="L227" s="30">
        <f t="shared" si="29"/>
        <v>0</v>
      </c>
      <c r="M227" s="23"/>
      <c r="N227" s="33">
        <v>7.8100000000000003E-2</v>
      </c>
      <c r="O227" s="30"/>
    </row>
    <row r="228" spans="1:15" s="1022" customFormat="1" x14ac:dyDescent="0.2">
      <c r="A228" s="1538"/>
      <c r="B228" s="21" t="s">
        <v>75</v>
      </c>
      <c r="C228" s="21"/>
      <c r="D228" s="23"/>
      <c r="E228" s="24">
        <v>0.9</v>
      </c>
      <c r="F228" s="30">
        <f t="shared" si="28"/>
        <v>0</v>
      </c>
      <c r="G228" s="23"/>
      <c r="H228" s="31">
        <v>7.4999999999999997E-2</v>
      </c>
      <c r="I228" s="30">
        <f t="shared" si="27"/>
        <v>0</v>
      </c>
      <c r="J228" s="23"/>
      <c r="K228" s="32">
        <v>3.2399999999999998E-2</v>
      </c>
      <c r="L228" s="30">
        <f t="shared" si="29"/>
        <v>0</v>
      </c>
      <c r="M228" s="23"/>
      <c r="N228" s="33">
        <v>0.156</v>
      </c>
      <c r="O228" s="30">
        <f t="shared" ref="O228:O240" si="31">+N228*C228</f>
        <v>0</v>
      </c>
    </row>
    <row r="229" spans="1:15" s="1022" customFormat="1" x14ac:dyDescent="0.2">
      <c r="A229" s="1538"/>
      <c r="B229" s="21" t="s">
        <v>76</v>
      </c>
      <c r="C229" s="21"/>
      <c r="D229" s="23"/>
      <c r="E229" s="24">
        <v>1</v>
      </c>
      <c r="F229" s="30">
        <f t="shared" si="28"/>
        <v>0</v>
      </c>
      <c r="G229" s="23"/>
      <c r="H229" s="31">
        <v>0.08</v>
      </c>
      <c r="I229" s="30">
        <f t="shared" si="27"/>
        <v>0</v>
      </c>
      <c r="J229" s="23"/>
      <c r="K229" s="32">
        <v>5.0700000000000002E-2</v>
      </c>
      <c r="L229" s="30">
        <f t="shared" si="29"/>
        <v>0</v>
      </c>
      <c r="M229" s="23"/>
      <c r="N229" s="33">
        <v>0.23430000000000001</v>
      </c>
      <c r="O229" s="30">
        <f t="shared" si="31"/>
        <v>0</v>
      </c>
    </row>
    <row r="230" spans="1:15" s="1022" customFormat="1" x14ac:dyDescent="0.2">
      <c r="A230" s="1538"/>
      <c r="B230" s="21" t="s">
        <v>77</v>
      </c>
      <c r="C230" s="21"/>
      <c r="D230" s="23"/>
      <c r="E230" s="24">
        <v>1.1100000000000001</v>
      </c>
      <c r="F230" s="30">
        <f t="shared" si="28"/>
        <v>0</v>
      </c>
      <c r="G230" s="23"/>
      <c r="H230" s="31">
        <v>8.5000000000000006E-2</v>
      </c>
      <c r="I230" s="30">
        <f t="shared" si="27"/>
        <v>0</v>
      </c>
      <c r="J230" s="23"/>
      <c r="K230" s="32">
        <v>7.2999999999999995E-2</v>
      </c>
      <c r="L230" s="30">
        <f t="shared" si="29"/>
        <v>0</v>
      </c>
      <c r="M230" s="23"/>
      <c r="N230" s="33">
        <v>0.3125</v>
      </c>
      <c r="O230" s="30">
        <f t="shared" si="31"/>
        <v>0</v>
      </c>
    </row>
    <row r="231" spans="1:15" s="1022" customFormat="1" x14ac:dyDescent="0.2">
      <c r="A231" s="1538"/>
      <c r="B231" s="21" t="s">
        <v>78</v>
      </c>
      <c r="C231" s="21"/>
      <c r="D231" s="23"/>
      <c r="E231" s="24">
        <v>1.22</v>
      </c>
      <c r="F231" s="30">
        <f t="shared" si="28"/>
        <v>0</v>
      </c>
      <c r="G231" s="23"/>
      <c r="H231" s="31">
        <v>0.09</v>
      </c>
      <c r="I231" s="30">
        <f t="shared" si="27"/>
        <v>0</v>
      </c>
      <c r="J231" s="23"/>
      <c r="K231" s="32">
        <v>9.9299999999999999E-2</v>
      </c>
      <c r="L231" s="30">
        <f t="shared" si="29"/>
        <v>0</v>
      </c>
      <c r="M231" s="23"/>
      <c r="N231" s="33"/>
      <c r="O231" s="30">
        <f t="shared" si="31"/>
        <v>0</v>
      </c>
    </row>
    <row r="232" spans="1:15" s="1022" customFormat="1" x14ac:dyDescent="0.2">
      <c r="A232" s="1538"/>
      <c r="B232" s="21" t="s">
        <v>79</v>
      </c>
      <c r="C232" s="21"/>
      <c r="D232" s="23"/>
      <c r="E232" s="24">
        <v>1.4</v>
      </c>
      <c r="F232" s="30">
        <f t="shared" si="28"/>
        <v>0</v>
      </c>
      <c r="G232" s="23"/>
      <c r="H232" s="31">
        <v>0.1</v>
      </c>
      <c r="I232" s="30">
        <f t="shared" si="27"/>
        <v>0</v>
      </c>
      <c r="J232" s="23"/>
      <c r="K232" s="32">
        <v>0.12970000000000001</v>
      </c>
      <c r="L232" s="30">
        <f t="shared" si="29"/>
        <v>0</v>
      </c>
      <c r="M232" s="23"/>
      <c r="N232" s="33">
        <v>0.41660000000000003</v>
      </c>
      <c r="O232" s="30">
        <f t="shared" si="31"/>
        <v>0</v>
      </c>
    </row>
    <row r="233" spans="1:15" s="1022" customFormat="1" x14ac:dyDescent="0.2">
      <c r="A233" s="1538"/>
      <c r="B233" s="21" t="s">
        <v>80</v>
      </c>
      <c r="C233" s="21"/>
      <c r="D233" s="23"/>
      <c r="E233" s="24">
        <v>1.67</v>
      </c>
      <c r="F233" s="30">
        <f t="shared" si="28"/>
        <v>0</v>
      </c>
      <c r="G233" s="23"/>
      <c r="H233" s="31">
        <v>0.115</v>
      </c>
      <c r="I233" s="30">
        <f t="shared" si="27"/>
        <v>0</v>
      </c>
      <c r="J233" s="23"/>
      <c r="K233" s="32">
        <v>0.16420000000000001</v>
      </c>
      <c r="L233" s="30">
        <f t="shared" si="29"/>
        <v>0</v>
      </c>
      <c r="M233" s="23"/>
      <c r="N233" s="33"/>
      <c r="O233" s="30">
        <f t="shared" si="31"/>
        <v>0</v>
      </c>
    </row>
    <row r="234" spans="1:15" s="1022" customFormat="1" x14ac:dyDescent="0.2">
      <c r="A234" s="1538"/>
      <c r="B234" s="21" t="s">
        <v>81</v>
      </c>
      <c r="C234" s="21"/>
      <c r="D234" s="23"/>
      <c r="E234" s="24">
        <v>1.8</v>
      </c>
      <c r="F234" s="30">
        <f t="shared" si="28"/>
        <v>0</v>
      </c>
      <c r="G234" s="23"/>
      <c r="H234" s="31">
        <v>0.12</v>
      </c>
      <c r="I234" s="30">
        <f t="shared" si="27"/>
        <v>0</v>
      </c>
      <c r="J234" s="23"/>
      <c r="K234" s="32">
        <v>0.20269999999999999</v>
      </c>
      <c r="L234" s="30">
        <f t="shared" si="29"/>
        <v>0</v>
      </c>
      <c r="M234" s="23"/>
      <c r="N234" s="33"/>
      <c r="O234" s="30">
        <f t="shared" si="31"/>
        <v>0</v>
      </c>
    </row>
    <row r="235" spans="1:15" s="1022" customFormat="1" x14ac:dyDescent="0.2">
      <c r="A235" s="1538"/>
      <c r="B235" s="21" t="s">
        <v>82</v>
      </c>
      <c r="C235" s="21"/>
      <c r="D235" s="23"/>
      <c r="E235" s="24">
        <v>2.15</v>
      </c>
      <c r="F235" s="30">
        <f t="shared" si="28"/>
        <v>0</v>
      </c>
      <c r="G235" s="23"/>
      <c r="H235" s="31"/>
      <c r="I235" s="30">
        <f t="shared" si="27"/>
        <v>0</v>
      </c>
      <c r="J235" s="23"/>
      <c r="K235" s="32">
        <v>0.29189999999999999</v>
      </c>
      <c r="L235" s="30">
        <f t="shared" si="29"/>
        <v>0</v>
      </c>
      <c r="M235" s="23"/>
      <c r="N235" s="33"/>
      <c r="O235" s="30">
        <f t="shared" si="31"/>
        <v>0</v>
      </c>
    </row>
    <row r="236" spans="1:15" s="1022" customFormat="1" x14ac:dyDescent="0.2">
      <c r="A236" s="1538"/>
      <c r="B236" s="21" t="s">
        <v>83</v>
      </c>
      <c r="C236" s="21"/>
      <c r="D236" s="23"/>
      <c r="E236" s="24">
        <v>2.78</v>
      </c>
      <c r="F236" s="30">
        <f t="shared" si="28"/>
        <v>0</v>
      </c>
      <c r="G236" s="23"/>
      <c r="H236" s="31"/>
      <c r="I236" s="30">
        <f t="shared" si="27"/>
        <v>0</v>
      </c>
      <c r="J236" s="23"/>
      <c r="K236" s="32">
        <v>0.45600000000000002</v>
      </c>
      <c r="L236" s="30">
        <f t="shared" si="29"/>
        <v>0</v>
      </c>
      <c r="M236" s="23"/>
      <c r="N236" s="33"/>
      <c r="O236" s="30">
        <f t="shared" si="31"/>
        <v>0</v>
      </c>
    </row>
    <row r="237" spans="1:15" s="1022" customFormat="1" x14ac:dyDescent="0.2">
      <c r="A237" s="1538"/>
      <c r="B237" s="21" t="s">
        <v>84</v>
      </c>
      <c r="C237" s="21"/>
      <c r="D237" s="23"/>
      <c r="E237" s="24">
        <v>3.72</v>
      </c>
      <c r="F237" s="30">
        <f t="shared" si="28"/>
        <v>0</v>
      </c>
      <c r="G237" s="23"/>
      <c r="H237" s="31"/>
      <c r="I237" s="30">
        <f t="shared" si="27"/>
        <v>0</v>
      </c>
      <c r="J237" s="23"/>
      <c r="K237" s="32">
        <v>0.65669999999999995</v>
      </c>
      <c r="L237" s="30">
        <f t="shared" si="29"/>
        <v>0</v>
      </c>
      <c r="M237" s="23"/>
      <c r="N237" s="33"/>
      <c r="O237" s="30">
        <f t="shared" si="31"/>
        <v>0</v>
      </c>
    </row>
    <row r="238" spans="1:15" s="1022" customFormat="1" x14ac:dyDescent="0.2">
      <c r="A238" s="1538"/>
      <c r="B238" s="21" t="s">
        <v>85</v>
      </c>
      <c r="C238" s="21"/>
      <c r="D238" s="23"/>
      <c r="E238" s="24">
        <v>3.95</v>
      </c>
      <c r="F238" s="30">
        <f t="shared" si="28"/>
        <v>0</v>
      </c>
      <c r="G238" s="23"/>
      <c r="H238" s="31"/>
      <c r="I238" s="30">
        <f t="shared" si="27"/>
        <v>0</v>
      </c>
      <c r="J238" s="23"/>
      <c r="K238" s="32">
        <v>0.73170000000000002</v>
      </c>
      <c r="L238" s="30">
        <f t="shared" si="29"/>
        <v>0</v>
      </c>
      <c r="M238" s="23"/>
      <c r="N238" s="33"/>
      <c r="O238" s="30">
        <f t="shared" si="31"/>
        <v>0</v>
      </c>
    </row>
    <row r="239" spans="1:15" s="1022" customFormat="1" x14ac:dyDescent="0.2">
      <c r="A239" s="1538"/>
      <c r="B239" s="21" t="s">
        <v>86</v>
      </c>
      <c r="C239" s="21"/>
      <c r="D239" s="23"/>
      <c r="E239" s="24">
        <v>4.16</v>
      </c>
      <c r="F239" s="30">
        <f t="shared" si="28"/>
        <v>0</v>
      </c>
      <c r="G239" s="23"/>
      <c r="H239" s="31"/>
      <c r="I239" s="30">
        <f t="shared" si="27"/>
        <v>0</v>
      </c>
      <c r="J239" s="23"/>
      <c r="K239" s="32">
        <v>0.81069999999999998</v>
      </c>
      <c r="L239" s="30">
        <f t="shared" si="29"/>
        <v>0</v>
      </c>
      <c r="M239" s="23"/>
      <c r="N239" s="33"/>
      <c r="O239" s="30">
        <f t="shared" si="31"/>
        <v>0</v>
      </c>
    </row>
    <row r="240" spans="1:15" s="1022" customFormat="1" ht="13.5" thickBot="1" x14ac:dyDescent="0.25">
      <c r="A240" s="1538"/>
      <c r="B240" s="34" t="s">
        <v>87</v>
      </c>
      <c r="C240" s="34"/>
      <c r="D240" s="23"/>
      <c r="E240" s="24">
        <v>4.3600000000000003</v>
      </c>
      <c r="F240" s="30">
        <f t="shared" si="28"/>
        <v>0</v>
      </c>
      <c r="G240" s="23"/>
      <c r="H240" s="31"/>
      <c r="I240" s="30">
        <f t="shared" si="27"/>
        <v>0</v>
      </c>
      <c r="J240" s="23"/>
      <c r="K240" s="32">
        <v>0.89380000000000004</v>
      </c>
      <c r="L240" s="30">
        <f t="shared" si="29"/>
        <v>0</v>
      </c>
      <c r="M240" s="23"/>
      <c r="N240" s="33"/>
      <c r="O240" s="30">
        <f t="shared" si="31"/>
        <v>0</v>
      </c>
    </row>
    <row r="241" spans="1:15" s="1022" customFormat="1" ht="16.5" thickBot="1" x14ac:dyDescent="0.3">
      <c r="A241" s="1538"/>
      <c r="B241" s="36"/>
      <c r="C241" s="37">
        <f>SUM(C223:C240)</f>
        <v>5387.72</v>
      </c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s="1022" customFormat="1" ht="13.5" thickBot="1" x14ac:dyDescent="0.25">
      <c r="A242" s="1538"/>
      <c r="B242" s="23"/>
      <c r="C242" s="38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s="1022" customFormat="1" ht="16.5" thickBot="1" x14ac:dyDescent="0.3">
      <c r="A243" s="1538"/>
      <c r="B243" s="23"/>
      <c r="C243" s="39" t="s">
        <v>88</v>
      </c>
      <c r="D243" s="40"/>
      <c r="E243" s="41" t="s">
        <v>89</v>
      </c>
      <c r="F243" s="37">
        <f>SUM(F223:F241)</f>
        <v>3673.3732</v>
      </c>
      <c r="G243" s="42"/>
      <c r="H243" s="43" t="s">
        <v>90</v>
      </c>
      <c r="I243" s="37">
        <f>SUM(I223:I241)</f>
        <v>377.14040000000006</v>
      </c>
      <c r="J243" s="44"/>
      <c r="K243" s="41" t="s">
        <v>91</v>
      </c>
      <c r="L243" s="37">
        <f>SUM(L223:L241)</f>
        <v>29.781371999999998</v>
      </c>
      <c r="M243" s="44"/>
      <c r="N243" s="41" t="s">
        <v>92</v>
      </c>
      <c r="O243" s="37">
        <f>(SUM(O223:O241)/6)*0.25</f>
        <v>4.4341797333333339</v>
      </c>
    </row>
    <row r="244" spans="1:15" s="1022" customFormat="1" ht="13.5" thickBot="1" x14ac:dyDescent="0.25">
      <c r="A244" s="1538"/>
      <c r="B244" s="23"/>
      <c r="C244" s="23"/>
      <c r="D244" s="23"/>
      <c r="E244" s="23"/>
      <c r="F244" s="45"/>
      <c r="G244" s="45"/>
      <c r="H244" s="45"/>
      <c r="I244" s="45"/>
      <c r="J244" s="23"/>
      <c r="K244" s="23"/>
      <c r="L244" s="23"/>
      <c r="M244" s="23"/>
      <c r="N244" s="23"/>
      <c r="O244" s="23"/>
    </row>
    <row r="245" spans="1:15" s="1022" customFormat="1" ht="16.5" thickBot="1" x14ac:dyDescent="0.3">
      <c r="A245" s="1538"/>
      <c r="B245" s="23"/>
      <c r="C245" s="46" t="s">
        <v>93</v>
      </c>
      <c r="D245" s="47"/>
      <c r="E245" s="47"/>
      <c r="F245" s="47"/>
      <c r="G245" s="47"/>
      <c r="H245" s="47"/>
      <c r="I245" s="48">
        <f>(F243-I243-L243)*0.95</f>
        <v>3103.1288565999998</v>
      </c>
      <c r="J245" s="23"/>
      <c r="K245" s="23"/>
      <c r="L245" s="23"/>
      <c r="M245" s="23"/>
      <c r="N245" s="23"/>
      <c r="O245" s="23"/>
    </row>
    <row r="246" spans="1:15" s="1022" customFormat="1" ht="13.5" thickBot="1" x14ac:dyDescent="0.25">
      <c r="A246" s="1538"/>
      <c r="B246" s="23"/>
      <c r="C246" s="23"/>
      <c r="D246" s="23"/>
      <c r="E246" s="23"/>
      <c r="F246" s="45"/>
      <c r="G246" s="45"/>
      <c r="H246" s="45"/>
      <c r="I246" s="45"/>
      <c r="J246" s="23"/>
      <c r="K246" s="23"/>
      <c r="L246" s="23"/>
      <c r="M246" s="23"/>
      <c r="N246" s="23"/>
      <c r="O246" s="23"/>
    </row>
    <row r="247" spans="1:15" s="1022" customFormat="1" ht="16.5" thickBot="1" x14ac:dyDescent="0.3">
      <c r="A247" s="1538"/>
      <c r="B247" s="23"/>
      <c r="C247" s="46" t="s">
        <v>94</v>
      </c>
      <c r="D247" s="49"/>
      <c r="E247" s="49"/>
      <c r="F247" s="49"/>
      <c r="G247" s="49"/>
      <c r="H247" s="49"/>
      <c r="I247" s="48">
        <f>((F243-I245)*1.2)</f>
        <v>684.29321208000022</v>
      </c>
      <c r="J247" s="23"/>
      <c r="K247" s="23"/>
      <c r="L247" s="23"/>
      <c r="M247" s="23"/>
      <c r="N247" s="23"/>
      <c r="O247" s="23"/>
    </row>
    <row r="248" spans="1:15" s="1022" customFormat="1" x14ac:dyDescent="0.2">
      <c r="A248" s="1538"/>
      <c r="B248" s="23"/>
      <c r="C248" s="23"/>
      <c r="D248" s="23"/>
      <c r="E248" s="23"/>
      <c r="F248" s="23"/>
      <c r="G248" s="23"/>
      <c r="H248" s="23"/>
      <c r="I248" s="23">
        <f>+L250</f>
        <v>1322.414352</v>
      </c>
      <c r="J248" s="23"/>
      <c r="K248" s="23"/>
      <c r="L248" s="23"/>
      <c r="M248" s="23"/>
      <c r="N248" s="23"/>
      <c r="O248" s="23"/>
    </row>
    <row r="249" spans="1:15" s="1022" customFormat="1" ht="18" x14ac:dyDescent="0.25">
      <c r="A249" s="1538"/>
      <c r="B249" s="23"/>
      <c r="C249" s="1567" t="s">
        <v>95</v>
      </c>
      <c r="D249" s="1567"/>
      <c r="E249" s="1567"/>
      <c r="F249" s="1567"/>
      <c r="G249" s="23"/>
      <c r="H249" s="23"/>
      <c r="I249" s="23">
        <f>+I247+I248</f>
        <v>2006.7075640800003</v>
      </c>
      <c r="J249" s="23"/>
      <c r="K249" s="23"/>
      <c r="L249" s="23" t="s">
        <v>636</v>
      </c>
      <c r="M249" s="23"/>
      <c r="N249" s="23"/>
      <c r="O249" s="23"/>
    </row>
    <row r="250" spans="1:15" s="1022" customFormat="1" ht="13.5" thickBot="1" x14ac:dyDescent="0.25">
      <c r="A250" s="1538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>
        <f>+F243*0.3*1.2</f>
        <v>1322.414352</v>
      </c>
      <c r="M250" s="23"/>
      <c r="N250" s="23"/>
      <c r="O250" s="23"/>
    </row>
    <row r="251" spans="1:15" s="1022" customFormat="1" ht="13.5" thickBot="1" x14ac:dyDescent="0.25">
      <c r="A251" s="1538"/>
      <c r="B251" s="45"/>
      <c r="C251" s="50" t="s">
        <v>96</v>
      </c>
      <c r="D251" s="45"/>
      <c r="E251" s="50" t="s">
        <v>97</v>
      </c>
      <c r="F251" s="51" t="s">
        <v>98</v>
      </c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s="1022" customFormat="1" x14ac:dyDescent="0.2">
      <c r="A252" s="1538"/>
      <c r="B252" s="21" t="s">
        <v>71</v>
      </c>
      <c r="C252" s="25"/>
      <c r="D252" s="45"/>
      <c r="E252" s="52">
        <v>0.02</v>
      </c>
      <c r="F252" s="53">
        <f>(E252*C252)+C252</f>
        <v>0</v>
      </c>
      <c r="G252" s="23"/>
      <c r="H252" s="23"/>
      <c r="I252" s="23"/>
      <c r="J252" s="1188" t="s">
        <v>871</v>
      </c>
      <c r="K252" s="23"/>
      <c r="L252" s="23">
        <f>+F243*0.7</f>
        <v>2571.3612399999997</v>
      </c>
      <c r="M252" s="23"/>
      <c r="N252" s="23"/>
      <c r="O252" s="23"/>
    </row>
    <row r="253" spans="1:15" s="1022" customFormat="1" x14ac:dyDescent="0.2">
      <c r="A253" s="1538"/>
      <c r="B253" s="21" t="s">
        <v>72</v>
      </c>
      <c r="C253" s="25">
        <f>+C225</f>
        <v>3959.76</v>
      </c>
      <c r="D253" s="45"/>
      <c r="E253" s="54">
        <v>0.02</v>
      </c>
      <c r="F253" s="55">
        <f>(E253*C253)+C253</f>
        <v>4038.9552000000003</v>
      </c>
      <c r="G253" s="23"/>
      <c r="H253" s="23"/>
      <c r="I253" s="23"/>
      <c r="J253" s="1188" t="s">
        <v>872</v>
      </c>
      <c r="K253" s="23"/>
      <c r="L253" s="23">
        <f>+F243*0.3</f>
        <v>1102.01196</v>
      </c>
      <c r="M253" s="23"/>
      <c r="N253" s="23"/>
      <c r="O253" s="23"/>
    </row>
    <row r="254" spans="1:15" s="1022" customFormat="1" x14ac:dyDescent="0.2">
      <c r="A254" s="1538"/>
      <c r="B254" s="21" t="s">
        <v>73</v>
      </c>
      <c r="C254" s="25">
        <f>C226</f>
        <v>1427.96</v>
      </c>
      <c r="D254" s="45"/>
      <c r="E254" s="54">
        <v>0.02</v>
      </c>
      <c r="F254" s="55">
        <f>(E254*C254)+C254</f>
        <v>1456.5192</v>
      </c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s="1022" customFormat="1" x14ac:dyDescent="0.2">
      <c r="A255" s="1538"/>
      <c r="B255" s="21" t="s">
        <v>74</v>
      </c>
      <c r="C255" s="25">
        <f>C227</f>
        <v>0</v>
      </c>
      <c r="D255" s="45"/>
      <c r="E255" s="54">
        <v>0.03</v>
      </c>
      <c r="F255" s="55">
        <f>(E255*C255)+C255</f>
        <v>0</v>
      </c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s="1022" customFormat="1" x14ac:dyDescent="0.2">
      <c r="A256" s="1538"/>
      <c r="B256" s="21" t="s">
        <v>75</v>
      </c>
      <c r="C256" s="25">
        <f>C228</f>
        <v>0</v>
      </c>
      <c r="D256" s="45"/>
      <c r="E256" s="54">
        <v>0.03</v>
      </c>
      <c r="F256" s="55">
        <f>C256*E256+C256</f>
        <v>0</v>
      </c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s="1022" customFormat="1" x14ac:dyDescent="0.2">
      <c r="A257" s="1538"/>
      <c r="B257" s="21" t="s">
        <v>76</v>
      </c>
      <c r="C257" s="25">
        <f t="shared" ref="C257:C268" si="32">C229</f>
        <v>0</v>
      </c>
      <c r="D257" s="45"/>
      <c r="E257" s="54">
        <v>0.04</v>
      </c>
      <c r="F257" s="55">
        <f t="shared" ref="F257:F268" si="33">(E257*C257)+C257</f>
        <v>0</v>
      </c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s="1022" customFormat="1" x14ac:dyDescent="0.2">
      <c r="A258" s="1538"/>
      <c r="B258" s="21" t="s">
        <v>77</v>
      </c>
      <c r="C258" s="25">
        <f t="shared" si="32"/>
        <v>0</v>
      </c>
      <c r="D258" s="45"/>
      <c r="E258" s="54">
        <v>0.04</v>
      </c>
      <c r="F258" s="55">
        <f t="shared" si="33"/>
        <v>0</v>
      </c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s="1022" customFormat="1" x14ac:dyDescent="0.2">
      <c r="A259" s="1538"/>
      <c r="B259" s="21" t="s">
        <v>78</v>
      </c>
      <c r="C259" s="25">
        <f t="shared" si="32"/>
        <v>0</v>
      </c>
      <c r="D259" s="45"/>
      <c r="E259" s="54">
        <v>0.04</v>
      </c>
      <c r="F259" s="55">
        <f t="shared" si="33"/>
        <v>0</v>
      </c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s="1022" customFormat="1" x14ac:dyDescent="0.2">
      <c r="A260" s="1538"/>
      <c r="B260" s="21" t="s">
        <v>79</v>
      </c>
      <c r="C260" s="25">
        <f t="shared" si="32"/>
        <v>0</v>
      </c>
      <c r="D260" s="45"/>
      <c r="E260" s="54">
        <v>0.05</v>
      </c>
      <c r="F260" s="55">
        <f t="shared" si="33"/>
        <v>0</v>
      </c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s="1022" customFormat="1" x14ac:dyDescent="0.2">
      <c r="A261" s="1538"/>
      <c r="B261" s="21" t="s">
        <v>80</v>
      </c>
      <c r="C261" s="25">
        <f t="shared" si="32"/>
        <v>0</v>
      </c>
      <c r="D261" s="45"/>
      <c r="E261" s="54">
        <v>0.05</v>
      </c>
      <c r="F261" s="55">
        <f t="shared" si="33"/>
        <v>0</v>
      </c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s="1022" customFormat="1" x14ac:dyDescent="0.2">
      <c r="A262" s="1538"/>
      <c r="B262" s="21" t="s">
        <v>81</v>
      </c>
      <c r="C262" s="25">
        <f t="shared" si="32"/>
        <v>0</v>
      </c>
      <c r="D262" s="45"/>
      <c r="E262" s="54">
        <v>0.06</v>
      </c>
      <c r="F262" s="55">
        <f t="shared" si="33"/>
        <v>0</v>
      </c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s="1022" customFormat="1" x14ac:dyDescent="0.2">
      <c r="A263" s="1538"/>
      <c r="B263" s="21" t="s">
        <v>82</v>
      </c>
      <c r="C263" s="25">
        <f t="shared" si="32"/>
        <v>0</v>
      </c>
      <c r="D263" s="45"/>
      <c r="E263" s="54">
        <v>7.0000000000000007E-2</v>
      </c>
      <c r="F263" s="55">
        <f t="shared" si="33"/>
        <v>0</v>
      </c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s="1022" customFormat="1" x14ac:dyDescent="0.2">
      <c r="A264" s="1538"/>
      <c r="B264" s="21" t="s">
        <v>83</v>
      </c>
      <c r="C264" s="25">
        <f t="shared" si="32"/>
        <v>0</v>
      </c>
      <c r="D264" s="45"/>
      <c r="E264" s="54"/>
      <c r="F264" s="55">
        <f t="shared" si="33"/>
        <v>0</v>
      </c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s="1022" customFormat="1" x14ac:dyDescent="0.2">
      <c r="A265" s="1538"/>
      <c r="B265" s="21" t="s">
        <v>84</v>
      </c>
      <c r="C265" s="25">
        <f t="shared" si="32"/>
        <v>0</v>
      </c>
      <c r="D265" s="45"/>
      <c r="E265" s="54"/>
      <c r="F265" s="55">
        <f t="shared" si="33"/>
        <v>0</v>
      </c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s="1022" customFormat="1" x14ac:dyDescent="0.2">
      <c r="A266" s="1538"/>
      <c r="B266" s="21" t="s">
        <v>85</v>
      </c>
      <c r="C266" s="25">
        <f t="shared" si="32"/>
        <v>0</v>
      </c>
      <c r="D266" s="45"/>
      <c r="E266" s="54"/>
      <c r="F266" s="55">
        <f t="shared" si="33"/>
        <v>0</v>
      </c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s="1022" customFormat="1" x14ac:dyDescent="0.2">
      <c r="A267" s="1538"/>
      <c r="B267" s="21" t="s">
        <v>86</v>
      </c>
      <c r="C267" s="25">
        <f t="shared" si="32"/>
        <v>0</v>
      </c>
      <c r="D267" s="45"/>
      <c r="E267" s="54"/>
      <c r="F267" s="55">
        <f t="shared" si="33"/>
        <v>0</v>
      </c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s="1022" customFormat="1" x14ac:dyDescent="0.2">
      <c r="A268" s="1538"/>
      <c r="B268" s="21" t="s">
        <v>87</v>
      </c>
      <c r="C268" s="25">
        <f t="shared" si="32"/>
        <v>0</v>
      </c>
      <c r="D268" s="45"/>
      <c r="E268" s="54"/>
      <c r="F268" s="55">
        <f t="shared" si="33"/>
        <v>0</v>
      </c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s="1022" customFormat="1" x14ac:dyDescent="0.2">
      <c r="A269" s="1538"/>
      <c r="B269" s="1538"/>
      <c r="C269" s="1538"/>
      <c r="D269" s="1538"/>
      <c r="E269" s="1538"/>
      <c r="F269" s="1538"/>
      <c r="G269" s="1538"/>
      <c r="H269" s="1538"/>
      <c r="I269" s="1538"/>
      <c r="J269" s="1538"/>
      <c r="K269" s="1538"/>
      <c r="L269" s="1538"/>
      <c r="M269" s="1538"/>
      <c r="N269" s="1538"/>
      <c r="O269" s="1538"/>
    </row>
    <row r="270" spans="1:15" s="1022" customFormat="1" x14ac:dyDescent="0.2">
      <c r="A270" s="1538"/>
      <c r="B270" s="1538"/>
      <c r="C270" s="1538"/>
      <c r="D270" s="1538"/>
      <c r="E270" s="1538"/>
      <c r="F270" s="1538"/>
      <c r="G270" s="1538"/>
      <c r="H270" s="1538"/>
      <c r="I270" s="1538"/>
      <c r="J270" s="1538"/>
      <c r="K270" s="1538"/>
      <c r="L270" s="1538"/>
      <c r="M270" s="1538"/>
      <c r="N270" s="1538"/>
      <c r="O270" s="1538"/>
    </row>
    <row r="271" spans="1:15" s="1022" customFormat="1" x14ac:dyDescent="0.2">
      <c r="A271" s="1538"/>
      <c r="B271" s="1538"/>
      <c r="C271" s="1538"/>
      <c r="D271" s="1538"/>
      <c r="E271" s="1538"/>
      <c r="F271" s="1538"/>
      <c r="G271" s="1538"/>
      <c r="H271" s="1538"/>
      <c r="I271" s="1538"/>
      <c r="J271" s="1538"/>
      <c r="K271" s="1538"/>
      <c r="L271" s="1538"/>
      <c r="M271" s="1538"/>
      <c r="N271" s="1538"/>
      <c r="O271" s="1538"/>
    </row>
    <row r="272" spans="1:15" s="1022" customFormat="1" x14ac:dyDescent="0.2">
      <c r="A272" s="1538"/>
      <c r="B272" s="1538"/>
      <c r="C272" s="1538"/>
      <c r="D272" s="1538"/>
      <c r="E272" s="1538"/>
      <c r="F272" s="1538"/>
      <c r="G272" s="1538"/>
      <c r="H272" s="1538"/>
      <c r="I272" s="1538"/>
      <c r="J272" s="1538"/>
      <c r="K272" s="1538"/>
      <c r="L272" s="1538"/>
      <c r="M272" s="1538"/>
      <c r="N272" s="1538"/>
      <c r="O272" s="1538"/>
    </row>
    <row r="273" spans="1:15" s="1022" customFormat="1" x14ac:dyDescent="0.2">
      <c r="A273" s="1538"/>
      <c r="B273" s="1538"/>
      <c r="C273" s="1538"/>
      <c r="D273" s="1538"/>
      <c r="E273" s="1538"/>
      <c r="F273" s="1538"/>
      <c r="G273" s="1538"/>
      <c r="H273" s="1538"/>
      <c r="I273" s="1538"/>
      <c r="J273" s="1538"/>
      <c r="K273" s="1538"/>
      <c r="L273" s="1538"/>
      <c r="M273" s="1538"/>
      <c r="N273" s="1538"/>
      <c r="O273" s="1538"/>
    </row>
    <row r="274" spans="1:15" s="1022" customFormat="1" x14ac:dyDescent="0.2">
      <c r="A274" s="1538"/>
      <c r="B274" s="1538"/>
      <c r="C274" s="1538"/>
      <c r="D274" s="1538"/>
      <c r="E274" s="1538"/>
      <c r="F274" s="1538"/>
      <c r="G274" s="1538"/>
      <c r="H274" s="1538"/>
      <c r="I274" s="1538"/>
      <c r="J274" s="1538"/>
      <c r="K274" s="1538"/>
      <c r="L274" s="1538"/>
      <c r="M274" s="1538"/>
      <c r="N274" s="1538"/>
      <c r="O274" s="1538"/>
    </row>
    <row r="275" spans="1:15" s="1022" customFormat="1" ht="20.25" x14ac:dyDescent="0.3">
      <c r="A275" s="1538"/>
      <c r="B275" s="1537"/>
      <c r="C275" s="1537" t="s">
        <v>641</v>
      </c>
      <c r="D275" s="1537"/>
      <c r="E275" s="1537"/>
      <c r="F275" s="1537"/>
      <c r="G275" s="1537"/>
      <c r="H275" s="1538"/>
      <c r="I275" s="1538"/>
      <c r="J275" s="1538"/>
      <c r="K275" s="1538"/>
      <c r="L275" s="1538"/>
      <c r="M275" s="1538"/>
      <c r="N275" s="1538"/>
      <c r="O275" s="1538"/>
    </row>
    <row r="276" spans="1:15" s="1022" customFormat="1" ht="18.75" thickBot="1" x14ac:dyDescent="0.3">
      <c r="A276" s="1538"/>
      <c r="B276" s="14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1:15" s="1022" customFormat="1" ht="13.5" thickBot="1" x14ac:dyDescent="0.25">
      <c r="A277" s="1538"/>
      <c r="B277" s="14"/>
      <c r="C277" s="14"/>
      <c r="D277" s="14"/>
      <c r="E277" s="1565" t="s">
        <v>63</v>
      </c>
      <c r="F277" s="1566"/>
      <c r="G277" s="16"/>
      <c r="H277" s="1565" t="s">
        <v>64</v>
      </c>
      <c r="I277" s="1566"/>
      <c r="J277" s="16"/>
      <c r="K277" s="1565" t="s">
        <v>65</v>
      </c>
      <c r="L277" s="1566"/>
      <c r="M277" s="16"/>
      <c r="N277" s="1565" t="s">
        <v>66</v>
      </c>
      <c r="O277" s="1566"/>
    </row>
    <row r="278" spans="1:15" s="1022" customFormat="1" ht="13.5" thickBot="1" x14ac:dyDescent="0.25">
      <c r="A278" s="1538"/>
      <c r="B278" s="14"/>
      <c r="C278" s="17" t="s">
        <v>67</v>
      </c>
      <c r="D278" s="14"/>
      <c r="E278" s="18" t="s">
        <v>68</v>
      </c>
      <c r="F278" s="19" t="s">
        <v>69</v>
      </c>
      <c r="G278" s="16"/>
      <c r="H278" s="18" t="s">
        <v>68</v>
      </c>
      <c r="I278" s="19" t="s">
        <v>69</v>
      </c>
      <c r="J278" s="16"/>
      <c r="K278" s="18" t="s">
        <v>68</v>
      </c>
      <c r="L278" s="19" t="s">
        <v>69</v>
      </c>
      <c r="M278" s="16"/>
      <c r="N278" s="18" t="s">
        <v>68</v>
      </c>
      <c r="O278" s="19" t="s">
        <v>70</v>
      </c>
    </row>
    <row r="279" spans="1:15" s="1022" customFormat="1" x14ac:dyDescent="0.2">
      <c r="A279" s="1538"/>
      <c r="B279" s="21" t="s">
        <v>71</v>
      </c>
      <c r="C279" s="22"/>
      <c r="D279" s="23"/>
      <c r="E279" s="24">
        <v>0.63</v>
      </c>
      <c r="F279" s="25">
        <f>+E279*C279</f>
        <v>0</v>
      </c>
      <c r="G279" s="23"/>
      <c r="H279" s="26">
        <v>0.06</v>
      </c>
      <c r="I279" s="25">
        <f t="shared" ref="I279:I296" si="34">+H279*C279</f>
        <v>0</v>
      </c>
      <c r="J279" s="23"/>
      <c r="K279" s="27">
        <v>2E-3</v>
      </c>
      <c r="L279" s="25">
        <f>+K279*C279</f>
        <v>0</v>
      </c>
      <c r="M279" s="23"/>
      <c r="N279" s="28">
        <v>1.388E-2</v>
      </c>
      <c r="O279" s="25">
        <f>+N279*C279</f>
        <v>0</v>
      </c>
    </row>
    <row r="280" spans="1:15" s="1022" customFormat="1" x14ac:dyDescent="0.2">
      <c r="A280" s="1538"/>
      <c r="B280" s="21" t="s">
        <v>71</v>
      </c>
      <c r="C280" s="22"/>
      <c r="D280" s="23"/>
      <c r="E280" s="24">
        <v>0.63</v>
      </c>
      <c r="F280" s="25">
        <f t="shared" ref="F280:F296" si="35">+E280*C280</f>
        <v>0</v>
      </c>
      <c r="G280" s="23"/>
      <c r="H280" s="26">
        <v>0.06</v>
      </c>
      <c r="I280" s="25">
        <f t="shared" si="34"/>
        <v>0</v>
      </c>
      <c r="J280" s="23"/>
      <c r="K280" s="27">
        <v>2E-3</v>
      </c>
      <c r="L280" s="25">
        <f t="shared" ref="L280:L296" si="36">+K280*C280</f>
        <v>0</v>
      </c>
      <c r="M280" s="23"/>
      <c r="N280" s="28">
        <v>1.388E-2</v>
      </c>
      <c r="O280" s="25">
        <f t="shared" ref="O280:O282" si="37">+N280*C280</f>
        <v>0</v>
      </c>
    </row>
    <row r="281" spans="1:15" s="1022" customFormat="1" x14ac:dyDescent="0.2">
      <c r="A281" s="1538"/>
      <c r="B281" s="21" t="s">
        <v>72</v>
      </c>
      <c r="C281" s="29"/>
      <c r="D281" s="23"/>
      <c r="E281" s="24">
        <v>0.65</v>
      </c>
      <c r="F281" s="30">
        <f t="shared" si="35"/>
        <v>0</v>
      </c>
      <c r="G281" s="23"/>
      <c r="H281" s="31">
        <v>0.06</v>
      </c>
      <c r="I281" s="30">
        <f t="shared" si="34"/>
        <v>0</v>
      </c>
      <c r="J281" s="23"/>
      <c r="K281" s="32">
        <v>4.5999999999999999E-3</v>
      </c>
      <c r="L281" s="30">
        <f t="shared" si="36"/>
        <v>0</v>
      </c>
      <c r="M281" s="23"/>
      <c r="N281" s="33">
        <v>1.7860000000000001E-2</v>
      </c>
      <c r="O281" s="30">
        <f t="shared" si="37"/>
        <v>0</v>
      </c>
    </row>
    <row r="282" spans="1:15" s="1022" customFormat="1" x14ac:dyDescent="0.2">
      <c r="A282" s="1538"/>
      <c r="B282" s="21" t="s">
        <v>73</v>
      </c>
      <c r="C282" s="29"/>
      <c r="D282" s="23"/>
      <c r="E282" s="24">
        <v>0.66</v>
      </c>
      <c r="F282" s="30">
        <f t="shared" si="35"/>
        <v>0</v>
      </c>
      <c r="G282" s="23"/>
      <c r="H282" s="31">
        <v>0.06</v>
      </c>
      <c r="I282" s="30">
        <f t="shared" si="34"/>
        <v>0</v>
      </c>
      <c r="J282" s="23"/>
      <c r="K282" s="32">
        <v>8.0999999999999996E-3</v>
      </c>
      <c r="L282" s="30">
        <f t="shared" si="36"/>
        <v>0</v>
      </c>
      <c r="M282" s="23"/>
      <c r="N282" s="33">
        <v>2.5000000000000001E-2</v>
      </c>
      <c r="O282" s="30">
        <f t="shared" si="37"/>
        <v>0</v>
      </c>
    </row>
    <row r="283" spans="1:15" s="1022" customFormat="1" x14ac:dyDescent="0.2">
      <c r="A283" s="1538"/>
      <c r="B283" s="21" t="s">
        <v>74</v>
      </c>
      <c r="C283" s="21">
        <v>17.100000000000001</v>
      </c>
      <c r="D283" s="23"/>
      <c r="E283" s="24">
        <v>0.81</v>
      </c>
      <c r="F283" s="30">
        <f t="shared" si="35"/>
        <v>13.851000000000003</v>
      </c>
      <c r="G283" s="23"/>
      <c r="H283" s="31"/>
      <c r="I283" s="30">
        <f t="shared" si="34"/>
        <v>0</v>
      </c>
      <c r="J283" s="23"/>
      <c r="K283" s="32">
        <v>1.8200000000000001E-2</v>
      </c>
      <c r="L283" s="30">
        <f t="shared" si="36"/>
        <v>0.31122000000000005</v>
      </c>
      <c r="M283" s="23"/>
      <c r="N283" s="33">
        <v>7.8100000000000003E-2</v>
      </c>
      <c r="O283" s="30"/>
    </row>
    <row r="284" spans="1:15" s="1022" customFormat="1" x14ac:dyDescent="0.2">
      <c r="A284" s="1538"/>
      <c r="B284" s="21" t="s">
        <v>75</v>
      </c>
      <c r="C284" s="21"/>
      <c r="D284" s="23"/>
      <c r="E284" s="24">
        <v>0.9</v>
      </c>
      <c r="F284" s="30">
        <f t="shared" si="35"/>
        <v>0</v>
      </c>
      <c r="G284" s="23"/>
      <c r="H284" s="31">
        <v>7.4999999999999997E-2</v>
      </c>
      <c r="I284" s="30">
        <f t="shared" si="34"/>
        <v>0</v>
      </c>
      <c r="J284" s="23"/>
      <c r="K284" s="32">
        <v>3.2399999999999998E-2</v>
      </c>
      <c r="L284" s="30">
        <f t="shared" si="36"/>
        <v>0</v>
      </c>
      <c r="M284" s="23"/>
      <c r="N284" s="33">
        <v>0.156</v>
      </c>
      <c r="O284" s="30">
        <f t="shared" ref="O284:O296" si="38">+N284*C284</f>
        <v>0</v>
      </c>
    </row>
    <row r="285" spans="1:15" s="1022" customFormat="1" x14ac:dyDescent="0.2">
      <c r="A285" s="1538"/>
      <c r="B285" s="21" t="s">
        <v>76</v>
      </c>
      <c r="C285" s="21"/>
      <c r="D285" s="23"/>
      <c r="E285" s="24">
        <v>1</v>
      </c>
      <c r="F285" s="30">
        <f t="shared" si="35"/>
        <v>0</v>
      </c>
      <c r="G285" s="23"/>
      <c r="H285" s="31">
        <v>0.08</v>
      </c>
      <c r="I285" s="30">
        <f t="shared" si="34"/>
        <v>0</v>
      </c>
      <c r="J285" s="23"/>
      <c r="K285" s="32">
        <v>5.0700000000000002E-2</v>
      </c>
      <c r="L285" s="30">
        <f t="shared" si="36"/>
        <v>0</v>
      </c>
      <c r="M285" s="23"/>
      <c r="N285" s="33">
        <v>0.23430000000000001</v>
      </c>
      <c r="O285" s="30">
        <f t="shared" si="38"/>
        <v>0</v>
      </c>
    </row>
    <row r="286" spans="1:15" s="1022" customFormat="1" x14ac:dyDescent="0.2">
      <c r="A286" s="1538"/>
      <c r="B286" s="21" t="s">
        <v>77</v>
      </c>
      <c r="C286" s="21"/>
      <c r="D286" s="23"/>
      <c r="E286" s="24">
        <v>1.1100000000000001</v>
      </c>
      <c r="F286" s="30">
        <f t="shared" si="35"/>
        <v>0</v>
      </c>
      <c r="G286" s="23"/>
      <c r="H286" s="31">
        <v>8.5000000000000006E-2</v>
      </c>
      <c r="I286" s="30">
        <f t="shared" si="34"/>
        <v>0</v>
      </c>
      <c r="J286" s="23"/>
      <c r="K286" s="32">
        <v>7.2999999999999995E-2</v>
      </c>
      <c r="L286" s="30">
        <f t="shared" si="36"/>
        <v>0</v>
      </c>
      <c r="M286" s="23"/>
      <c r="N286" s="33">
        <v>0.3125</v>
      </c>
      <c r="O286" s="30">
        <f t="shared" si="38"/>
        <v>0</v>
      </c>
    </row>
    <row r="287" spans="1:15" s="1022" customFormat="1" x14ac:dyDescent="0.2">
      <c r="A287" s="1538"/>
      <c r="B287" s="21" t="s">
        <v>78</v>
      </c>
      <c r="C287" s="21"/>
      <c r="D287" s="23"/>
      <c r="E287" s="24">
        <v>1.22</v>
      </c>
      <c r="F287" s="30">
        <f t="shared" si="35"/>
        <v>0</v>
      </c>
      <c r="G287" s="23"/>
      <c r="H287" s="31">
        <v>0.09</v>
      </c>
      <c r="I287" s="30">
        <f t="shared" si="34"/>
        <v>0</v>
      </c>
      <c r="J287" s="23"/>
      <c r="K287" s="32">
        <v>9.9299999999999999E-2</v>
      </c>
      <c r="L287" s="30">
        <f t="shared" si="36"/>
        <v>0</v>
      </c>
      <c r="M287" s="23"/>
      <c r="N287" s="33"/>
      <c r="O287" s="30">
        <f t="shared" si="38"/>
        <v>0</v>
      </c>
    </row>
    <row r="288" spans="1:15" s="1022" customFormat="1" x14ac:dyDescent="0.2">
      <c r="A288" s="1538"/>
      <c r="B288" s="21" t="s">
        <v>79</v>
      </c>
      <c r="C288" s="21"/>
      <c r="D288" s="23"/>
      <c r="E288" s="24">
        <v>1.4</v>
      </c>
      <c r="F288" s="30">
        <f t="shared" si="35"/>
        <v>0</v>
      </c>
      <c r="G288" s="23"/>
      <c r="H288" s="31">
        <v>0.1</v>
      </c>
      <c r="I288" s="30">
        <f t="shared" si="34"/>
        <v>0</v>
      </c>
      <c r="J288" s="23"/>
      <c r="K288" s="32">
        <v>0.12970000000000001</v>
      </c>
      <c r="L288" s="30">
        <f t="shared" si="36"/>
        <v>0</v>
      </c>
      <c r="M288" s="23"/>
      <c r="N288" s="33">
        <v>0.41660000000000003</v>
      </c>
      <c r="O288" s="30">
        <f t="shared" si="38"/>
        <v>0</v>
      </c>
    </row>
    <row r="289" spans="1:15" s="1022" customFormat="1" x14ac:dyDescent="0.2">
      <c r="A289" s="1538"/>
      <c r="B289" s="21" t="s">
        <v>80</v>
      </c>
      <c r="C289" s="21"/>
      <c r="D289" s="23"/>
      <c r="E289" s="24">
        <v>1.67</v>
      </c>
      <c r="F289" s="30">
        <f t="shared" si="35"/>
        <v>0</v>
      </c>
      <c r="G289" s="23"/>
      <c r="H289" s="31">
        <v>0.115</v>
      </c>
      <c r="I289" s="30">
        <f t="shared" si="34"/>
        <v>0</v>
      </c>
      <c r="J289" s="23"/>
      <c r="K289" s="32">
        <v>0.16420000000000001</v>
      </c>
      <c r="L289" s="30">
        <f t="shared" si="36"/>
        <v>0</v>
      </c>
      <c r="M289" s="23"/>
      <c r="N289" s="33"/>
      <c r="O289" s="30">
        <f t="shared" si="38"/>
        <v>0</v>
      </c>
    </row>
    <row r="290" spans="1:15" s="1022" customFormat="1" x14ac:dyDescent="0.2">
      <c r="A290" s="1538"/>
      <c r="B290" s="21" t="s">
        <v>81</v>
      </c>
      <c r="C290" s="21"/>
      <c r="D290" s="23"/>
      <c r="E290" s="24">
        <v>1.8</v>
      </c>
      <c r="F290" s="30">
        <f t="shared" si="35"/>
        <v>0</v>
      </c>
      <c r="G290" s="23"/>
      <c r="H290" s="31">
        <v>0.12</v>
      </c>
      <c r="I290" s="30">
        <f t="shared" si="34"/>
        <v>0</v>
      </c>
      <c r="J290" s="23"/>
      <c r="K290" s="32">
        <v>0.20269999999999999</v>
      </c>
      <c r="L290" s="30">
        <f t="shared" si="36"/>
        <v>0</v>
      </c>
      <c r="M290" s="23"/>
      <c r="N290" s="33"/>
      <c r="O290" s="30">
        <f t="shared" si="38"/>
        <v>0</v>
      </c>
    </row>
    <row r="291" spans="1:15" s="1022" customFormat="1" x14ac:dyDescent="0.2">
      <c r="A291" s="1538"/>
      <c r="B291" s="21" t="s">
        <v>82</v>
      </c>
      <c r="C291" s="21"/>
      <c r="D291" s="23"/>
      <c r="E291" s="24">
        <v>2.15</v>
      </c>
      <c r="F291" s="30">
        <f t="shared" si="35"/>
        <v>0</v>
      </c>
      <c r="G291" s="23"/>
      <c r="H291" s="31"/>
      <c r="I291" s="30">
        <f t="shared" si="34"/>
        <v>0</v>
      </c>
      <c r="J291" s="23"/>
      <c r="K291" s="32">
        <v>0.29189999999999999</v>
      </c>
      <c r="L291" s="30">
        <f t="shared" si="36"/>
        <v>0</v>
      </c>
      <c r="M291" s="23"/>
      <c r="N291" s="33"/>
      <c r="O291" s="30">
        <f t="shared" si="38"/>
        <v>0</v>
      </c>
    </row>
    <row r="292" spans="1:15" s="1022" customFormat="1" x14ac:dyDescent="0.2">
      <c r="A292" s="1538"/>
      <c r="B292" s="21" t="s">
        <v>83</v>
      </c>
      <c r="C292" s="21"/>
      <c r="D292" s="23"/>
      <c r="E292" s="24">
        <v>2.78</v>
      </c>
      <c r="F292" s="30">
        <f t="shared" si="35"/>
        <v>0</v>
      </c>
      <c r="G292" s="23"/>
      <c r="H292" s="31"/>
      <c r="I292" s="30">
        <f t="shared" si="34"/>
        <v>0</v>
      </c>
      <c r="J292" s="23"/>
      <c r="K292" s="32">
        <v>0.45600000000000002</v>
      </c>
      <c r="L292" s="30">
        <f t="shared" si="36"/>
        <v>0</v>
      </c>
      <c r="M292" s="23"/>
      <c r="N292" s="33"/>
      <c r="O292" s="30">
        <f t="shared" si="38"/>
        <v>0</v>
      </c>
    </row>
    <row r="293" spans="1:15" s="1022" customFormat="1" x14ac:dyDescent="0.2">
      <c r="A293" s="1538"/>
      <c r="B293" s="21" t="s">
        <v>84</v>
      </c>
      <c r="C293" s="21"/>
      <c r="D293" s="23"/>
      <c r="E293" s="24">
        <v>3.72</v>
      </c>
      <c r="F293" s="30">
        <f t="shared" si="35"/>
        <v>0</v>
      </c>
      <c r="G293" s="23"/>
      <c r="H293" s="31"/>
      <c r="I293" s="30">
        <f t="shared" si="34"/>
        <v>0</v>
      </c>
      <c r="J293" s="23"/>
      <c r="K293" s="32">
        <v>0.65669999999999995</v>
      </c>
      <c r="L293" s="30">
        <f t="shared" si="36"/>
        <v>0</v>
      </c>
      <c r="M293" s="23"/>
      <c r="N293" s="33"/>
      <c r="O293" s="30">
        <f t="shared" si="38"/>
        <v>0</v>
      </c>
    </row>
    <row r="294" spans="1:15" s="1022" customFormat="1" x14ac:dyDescent="0.2">
      <c r="A294" s="1538"/>
      <c r="B294" s="21" t="s">
        <v>85</v>
      </c>
      <c r="C294" s="21"/>
      <c r="D294" s="23"/>
      <c r="E294" s="24">
        <v>3.95</v>
      </c>
      <c r="F294" s="30">
        <f t="shared" si="35"/>
        <v>0</v>
      </c>
      <c r="G294" s="23"/>
      <c r="H294" s="31"/>
      <c r="I294" s="30">
        <f t="shared" si="34"/>
        <v>0</v>
      </c>
      <c r="J294" s="23"/>
      <c r="K294" s="32">
        <v>0.73170000000000002</v>
      </c>
      <c r="L294" s="30">
        <f t="shared" si="36"/>
        <v>0</v>
      </c>
      <c r="M294" s="23"/>
      <c r="N294" s="33"/>
      <c r="O294" s="30">
        <f t="shared" si="38"/>
        <v>0</v>
      </c>
    </row>
    <row r="295" spans="1:15" s="1022" customFormat="1" x14ac:dyDescent="0.2">
      <c r="A295" s="1538"/>
      <c r="B295" s="21" t="s">
        <v>86</v>
      </c>
      <c r="C295" s="21"/>
      <c r="D295" s="23"/>
      <c r="E295" s="24">
        <v>4.16</v>
      </c>
      <c r="F295" s="30">
        <f t="shared" si="35"/>
        <v>0</v>
      </c>
      <c r="G295" s="23"/>
      <c r="H295" s="31"/>
      <c r="I295" s="30">
        <f t="shared" si="34"/>
        <v>0</v>
      </c>
      <c r="J295" s="23"/>
      <c r="K295" s="32">
        <v>0.81069999999999998</v>
      </c>
      <c r="L295" s="30">
        <f t="shared" si="36"/>
        <v>0</v>
      </c>
      <c r="M295" s="23"/>
      <c r="N295" s="33"/>
      <c r="O295" s="30">
        <f t="shared" si="38"/>
        <v>0</v>
      </c>
    </row>
    <row r="296" spans="1:15" s="1022" customFormat="1" ht="13.5" thickBot="1" x14ac:dyDescent="0.25">
      <c r="A296" s="1538"/>
      <c r="B296" s="34" t="s">
        <v>87</v>
      </c>
      <c r="C296" s="34"/>
      <c r="D296" s="23"/>
      <c r="E296" s="24">
        <v>4.3600000000000003</v>
      </c>
      <c r="F296" s="30">
        <f t="shared" si="35"/>
        <v>0</v>
      </c>
      <c r="G296" s="23"/>
      <c r="H296" s="31"/>
      <c r="I296" s="30">
        <f t="shared" si="34"/>
        <v>0</v>
      </c>
      <c r="J296" s="23"/>
      <c r="K296" s="32">
        <v>0.89380000000000004</v>
      </c>
      <c r="L296" s="30">
        <f t="shared" si="36"/>
        <v>0</v>
      </c>
      <c r="M296" s="23"/>
      <c r="N296" s="33"/>
      <c r="O296" s="30">
        <f t="shared" si="38"/>
        <v>0</v>
      </c>
    </row>
    <row r="297" spans="1:15" s="1022" customFormat="1" ht="16.5" thickBot="1" x14ac:dyDescent="0.3">
      <c r="A297" s="1538"/>
      <c r="B297" s="36"/>
      <c r="C297" s="37">
        <f>SUM(C279:C296)</f>
        <v>17.100000000000001</v>
      </c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s="1022" customFormat="1" ht="13.5" thickBot="1" x14ac:dyDescent="0.25">
      <c r="A298" s="1538"/>
      <c r="B298" s="23"/>
      <c r="C298" s="38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s="1022" customFormat="1" ht="16.5" thickBot="1" x14ac:dyDescent="0.3">
      <c r="A299" s="1538"/>
      <c r="B299" s="23"/>
      <c r="C299" s="39" t="s">
        <v>88</v>
      </c>
      <c r="D299" s="40"/>
      <c r="E299" s="41" t="s">
        <v>89</v>
      </c>
      <c r="F299" s="37">
        <f>SUM(F279:F297)</f>
        <v>13.851000000000003</v>
      </c>
      <c r="G299" s="42"/>
      <c r="H299" s="43" t="s">
        <v>90</v>
      </c>
      <c r="I299" s="37">
        <f>SUM(I279:I297)</f>
        <v>0</v>
      </c>
      <c r="J299" s="44"/>
      <c r="K299" s="41" t="s">
        <v>91</v>
      </c>
      <c r="L299" s="37">
        <f>SUM(L279:L297)</f>
        <v>0.31122000000000005</v>
      </c>
      <c r="M299" s="44"/>
      <c r="N299" s="41" t="s">
        <v>92</v>
      </c>
      <c r="O299" s="37">
        <f>(SUM(O279:O297)/6)*0.25</f>
        <v>0</v>
      </c>
    </row>
    <row r="300" spans="1:15" s="1022" customFormat="1" ht="13.5" thickBot="1" x14ac:dyDescent="0.25">
      <c r="A300" s="1538"/>
      <c r="B300" s="23"/>
      <c r="C300" s="23"/>
      <c r="D300" s="23"/>
      <c r="E300" s="23"/>
      <c r="F300" s="45"/>
      <c r="G300" s="45"/>
      <c r="H300" s="45"/>
      <c r="I300" s="45"/>
      <c r="J300" s="23"/>
      <c r="K300" s="23"/>
      <c r="L300" s="23"/>
      <c r="M300" s="23"/>
      <c r="N300" s="23"/>
      <c r="O300" s="23"/>
    </row>
    <row r="301" spans="1:15" s="1022" customFormat="1" ht="16.5" thickBot="1" x14ac:dyDescent="0.3">
      <c r="A301" s="1538"/>
      <c r="B301" s="23"/>
      <c r="C301" s="46" t="s">
        <v>93</v>
      </c>
      <c r="D301" s="47"/>
      <c r="E301" s="47"/>
      <c r="F301" s="47"/>
      <c r="G301" s="47"/>
      <c r="H301" s="47"/>
      <c r="I301" s="48">
        <f>(F299-I299-L299)*0.95</f>
        <v>12.862791000000001</v>
      </c>
      <c r="J301" s="23"/>
      <c r="K301" s="23"/>
      <c r="L301" s="23"/>
      <c r="M301" s="23"/>
      <c r="N301" s="23"/>
      <c r="O301" s="23"/>
    </row>
    <row r="302" spans="1:15" s="1022" customFormat="1" ht="13.5" thickBot="1" x14ac:dyDescent="0.25">
      <c r="A302" s="1538"/>
      <c r="B302" s="23"/>
      <c r="C302" s="23"/>
      <c r="D302" s="23"/>
      <c r="E302" s="23"/>
      <c r="F302" s="45"/>
      <c r="G302" s="45"/>
      <c r="H302" s="45"/>
      <c r="I302" s="45"/>
      <c r="J302" s="23"/>
      <c r="K302" s="23"/>
      <c r="L302" s="23"/>
      <c r="M302" s="23"/>
      <c r="N302" s="23"/>
      <c r="O302" s="23"/>
    </row>
    <row r="303" spans="1:15" s="1022" customFormat="1" ht="16.5" thickBot="1" x14ac:dyDescent="0.3">
      <c r="A303" s="1538"/>
      <c r="B303" s="23"/>
      <c r="C303" s="46" t="s">
        <v>94</v>
      </c>
      <c r="D303" s="49"/>
      <c r="E303" s="49"/>
      <c r="F303" s="49"/>
      <c r="G303" s="49"/>
      <c r="H303" s="49"/>
      <c r="I303" s="48">
        <f>((F299-I301)*1.2)</f>
        <v>1.1858508000000014</v>
      </c>
      <c r="J303" s="23"/>
      <c r="K303" s="23"/>
      <c r="L303" s="23"/>
      <c r="M303" s="23"/>
      <c r="N303" s="23"/>
      <c r="O303" s="23"/>
    </row>
    <row r="304" spans="1:15" s="1022" customFormat="1" x14ac:dyDescent="0.2">
      <c r="A304" s="1538"/>
      <c r="B304" s="23"/>
      <c r="C304" s="23"/>
      <c r="D304" s="23"/>
      <c r="E304" s="23"/>
      <c r="F304" s="23"/>
      <c r="G304" s="23"/>
      <c r="H304" s="23"/>
      <c r="I304" s="23">
        <f>+L306</f>
        <v>4.1553000000000004</v>
      </c>
      <c r="J304" s="23"/>
      <c r="K304" s="23"/>
      <c r="L304" s="23"/>
      <c r="M304" s="23"/>
      <c r="N304" s="23"/>
      <c r="O304" s="23"/>
    </row>
    <row r="305" spans="1:15" s="1022" customFormat="1" ht="18" x14ac:dyDescent="0.25">
      <c r="A305" s="1538"/>
      <c r="B305" s="23"/>
      <c r="C305" s="1567" t="s">
        <v>95</v>
      </c>
      <c r="D305" s="1567"/>
      <c r="E305" s="1567"/>
      <c r="F305" s="1567"/>
      <c r="G305" s="23"/>
      <c r="H305" s="23"/>
      <c r="I305" s="23">
        <f>+I303+I304</f>
        <v>5.3411508000000021</v>
      </c>
      <c r="J305" s="23"/>
      <c r="K305" s="23"/>
      <c r="L305" s="23" t="s">
        <v>636</v>
      </c>
      <c r="M305" s="23"/>
      <c r="N305" s="23"/>
      <c r="O305" s="23"/>
    </row>
    <row r="306" spans="1:15" s="1022" customFormat="1" ht="13.5" thickBot="1" x14ac:dyDescent="0.25">
      <c r="A306" s="1538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>
        <f>+F299*0.3</f>
        <v>4.1553000000000004</v>
      </c>
      <c r="M306" s="23"/>
      <c r="N306" s="23"/>
      <c r="O306" s="23"/>
    </row>
    <row r="307" spans="1:15" s="1022" customFormat="1" ht="13.5" thickBot="1" x14ac:dyDescent="0.25">
      <c r="A307" s="1538"/>
      <c r="B307" s="45"/>
      <c r="C307" s="50" t="s">
        <v>96</v>
      </c>
      <c r="D307" s="45"/>
      <c r="E307" s="50" t="s">
        <v>97</v>
      </c>
      <c r="F307" s="51" t="s">
        <v>98</v>
      </c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s="1022" customFormat="1" x14ac:dyDescent="0.2">
      <c r="A308" s="1538"/>
      <c r="B308" s="21" t="s">
        <v>71</v>
      </c>
      <c r="C308" s="25"/>
      <c r="D308" s="45"/>
      <c r="E308" s="52">
        <v>0.02</v>
      </c>
      <c r="F308" s="53">
        <f>(E308*C308)+C308</f>
        <v>0</v>
      </c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s="1022" customFormat="1" x14ac:dyDescent="0.2">
      <c r="A309" s="1538"/>
      <c r="B309" s="21" t="s">
        <v>72</v>
      </c>
      <c r="C309" s="25">
        <f>+C281</f>
        <v>0</v>
      </c>
      <c r="D309" s="45"/>
      <c r="E309" s="54">
        <v>0.02</v>
      </c>
      <c r="F309" s="55">
        <f>(E309*C309)+C309</f>
        <v>0</v>
      </c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s="1022" customFormat="1" x14ac:dyDescent="0.2">
      <c r="A310" s="1538"/>
      <c r="B310" s="21" t="s">
        <v>73</v>
      </c>
      <c r="C310" s="25">
        <f>C282</f>
        <v>0</v>
      </c>
      <c r="D310" s="45"/>
      <c r="E310" s="54">
        <v>0.02</v>
      </c>
      <c r="F310" s="55">
        <f>(E310*C310)+C310</f>
        <v>0</v>
      </c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s="1022" customFormat="1" x14ac:dyDescent="0.2">
      <c r="A311" s="1538"/>
      <c r="B311" s="21" t="s">
        <v>74</v>
      </c>
      <c r="C311" s="25">
        <f>C283</f>
        <v>17.100000000000001</v>
      </c>
      <c r="D311" s="45"/>
      <c r="E311" s="54">
        <v>0.03</v>
      </c>
      <c r="F311" s="55">
        <f>(E311*C311)+C311</f>
        <v>17.613000000000003</v>
      </c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s="1022" customFormat="1" x14ac:dyDescent="0.2">
      <c r="A312" s="1538"/>
      <c r="B312" s="21" t="s">
        <v>75</v>
      </c>
      <c r="C312" s="25">
        <f>C284</f>
        <v>0</v>
      </c>
      <c r="D312" s="45"/>
      <c r="E312" s="54">
        <v>0.03</v>
      </c>
      <c r="F312" s="55">
        <f>C312*E312+C312</f>
        <v>0</v>
      </c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s="1022" customFormat="1" x14ac:dyDescent="0.2">
      <c r="A313" s="1538"/>
      <c r="B313" s="21" t="s">
        <v>76</v>
      </c>
      <c r="C313" s="25">
        <f t="shared" ref="C313:C324" si="39">C285</f>
        <v>0</v>
      </c>
      <c r="D313" s="45"/>
      <c r="E313" s="54">
        <v>0.04</v>
      </c>
      <c r="F313" s="55">
        <f t="shared" ref="F313:F324" si="40">(E313*C313)+C313</f>
        <v>0</v>
      </c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s="1022" customFormat="1" x14ac:dyDescent="0.2">
      <c r="A314" s="1538"/>
      <c r="B314" s="21" t="s">
        <v>77</v>
      </c>
      <c r="C314" s="25">
        <f t="shared" si="39"/>
        <v>0</v>
      </c>
      <c r="D314" s="45"/>
      <c r="E314" s="54">
        <v>0.04</v>
      </c>
      <c r="F314" s="55">
        <f t="shared" si="40"/>
        <v>0</v>
      </c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s="1022" customFormat="1" x14ac:dyDescent="0.2">
      <c r="A315" s="1538"/>
      <c r="B315" s="21" t="s">
        <v>78</v>
      </c>
      <c r="C315" s="25">
        <f t="shared" si="39"/>
        <v>0</v>
      </c>
      <c r="D315" s="45"/>
      <c r="E315" s="54">
        <v>0.04</v>
      </c>
      <c r="F315" s="55">
        <f t="shared" si="40"/>
        <v>0</v>
      </c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s="1022" customFormat="1" x14ac:dyDescent="0.2">
      <c r="A316" s="1538"/>
      <c r="B316" s="21" t="s">
        <v>79</v>
      </c>
      <c r="C316" s="25">
        <f t="shared" si="39"/>
        <v>0</v>
      </c>
      <c r="D316" s="45"/>
      <c r="E316" s="54">
        <v>0.05</v>
      </c>
      <c r="F316" s="55">
        <f t="shared" si="40"/>
        <v>0</v>
      </c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s="1022" customFormat="1" x14ac:dyDescent="0.2">
      <c r="A317" s="1538"/>
      <c r="B317" s="21" t="s">
        <v>80</v>
      </c>
      <c r="C317" s="25">
        <f t="shared" si="39"/>
        <v>0</v>
      </c>
      <c r="D317" s="45"/>
      <c r="E317" s="54">
        <v>0.05</v>
      </c>
      <c r="F317" s="55">
        <f t="shared" si="40"/>
        <v>0</v>
      </c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s="1022" customFormat="1" x14ac:dyDescent="0.2">
      <c r="A318" s="1538"/>
      <c r="B318" s="21" t="s">
        <v>81</v>
      </c>
      <c r="C318" s="25">
        <f t="shared" si="39"/>
        <v>0</v>
      </c>
      <c r="D318" s="45"/>
      <c r="E318" s="54">
        <v>0.06</v>
      </c>
      <c r="F318" s="55">
        <f t="shared" si="40"/>
        <v>0</v>
      </c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s="1022" customFormat="1" x14ac:dyDescent="0.2">
      <c r="A319" s="1538"/>
      <c r="B319" s="21" t="s">
        <v>82</v>
      </c>
      <c r="C319" s="25">
        <f t="shared" si="39"/>
        <v>0</v>
      </c>
      <c r="D319" s="45"/>
      <c r="E319" s="54">
        <v>7.0000000000000007E-2</v>
      </c>
      <c r="F319" s="55">
        <f t="shared" si="40"/>
        <v>0</v>
      </c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s="1022" customFormat="1" x14ac:dyDescent="0.2">
      <c r="A320" s="1538"/>
      <c r="B320" s="21" t="s">
        <v>83</v>
      </c>
      <c r="C320" s="25">
        <f t="shared" si="39"/>
        <v>0</v>
      </c>
      <c r="D320" s="45"/>
      <c r="E320" s="54"/>
      <c r="F320" s="55">
        <f t="shared" si="40"/>
        <v>0</v>
      </c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6" s="1022" customFormat="1" x14ac:dyDescent="0.2">
      <c r="A321" s="1538"/>
      <c r="B321" s="21" t="s">
        <v>84</v>
      </c>
      <c r="C321" s="25">
        <f t="shared" si="39"/>
        <v>0</v>
      </c>
      <c r="D321" s="45"/>
      <c r="E321" s="54"/>
      <c r="F321" s="55">
        <f t="shared" si="40"/>
        <v>0</v>
      </c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6" s="1022" customFormat="1" x14ac:dyDescent="0.2">
      <c r="A322" s="1538"/>
      <c r="B322" s="21" t="s">
        <v>85</v>
      </c>
      <c r="C322" s="25">
        <f t="shared" si="39"/>
        <v>0</v>
      </c>
      <c r="D322" s="45"/>
      <c r="E322" s="54"/>
      <c r="F322" s="55">
        <f t="shared" si="40"/>
        <v>0</v>
      </c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6" s="1022" customFormat="1" x14ac:dyDescent="0.2">
      <c r="A323" s="1538"/>
      <c r="B323" s="21" t="s">
        <v>86</v>
      </c>
      <c r="C323" s="25">
        <f t="shared" si="39"/>
        <v>0</v>
      </c>
      <c r="D323" s="45"/>
      <c r="E323" s="54"/>
      <c r="F323" s="55">
        <f t="shared" si="40"/>
        <v>0</v>
      </c>
      <c r="G323" s="23"/>
      <c r="H323" s="23"/>
      <c r="I323" s="23"/>
      <c r="J323" s="23">
        <f>0.7*0.11</f>
        <v>7.6999999999999999E-2</v>
      </c>
      <c r="K323" s="23"/>
      <c r="L323" s="23"/>
      <c r="M323" s="23"/>
      <c r="N323" s="23"/>
      <c r="O323" s="23"/>
    </row>
    <row r="324" spans="1:16" s="1022" customFormat="1" x14ac:dyDescent="0.2">
      <c r="A324" s="1538"/>
      <c r="B324" s="21" t="s">
        <v>87</v>
      </c>
      <c r="C324" s="25">
        <f t="shared" si="39"/>
        <v>0</v>
      </c>
      <c r="D324" s="45"/>
      <c r="E324" s="54"/>
      <c r="F324" s="55">
        <f t="shared" si="40"/>
        <v>0</v>
      </c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6" s="1022" customFormat="1" x14ac:dyDescent="0.2"/>
    <row r="326" spans="1:16" s="1022" customFormat="1" ht="20.25" x14ac:dyDescent="0.3">
      <c r="B326" s="1559"/>
      <c r="C326" s="1558"/>
      <c r="D326" s="1558"/>
      <c r="E326" s="1558"/>
      <c r="F326" s="1558" t="s">
        <v>932</v>
      </c>
      <c r="G326" s="1558"/>
      <c r="H326" s="1558"/>
      <c r="I326" s="654"/>
      <c r="J326" s="1559"/>
      <c r="K326" s="1559"/>
      <c r="L326" s="1559"/>
      <c r="M326" s="1559"/>
      <c r="N326" s="1559"/>
      <c r="O326" s="1559"/>
      <c r="P326" s="1559"/>
    </row>
    <row r="327" spans="1:16" s="1022" customFormat="1" ht="18.75" thickBot="1" x14ac:dyDescent="0.3">
      <c r="B327" s="1559"/>
      <c r="C327" s="14"/>
      <c r="D327" s="15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</row>
    <row r="328" spans="1:16" s="1022" customFormat="1" ht="13.5" thickBot="1" x14ac:dyDescent="0.25">
      <c r="B328" s="1559"/>
      <c r="C328" s="14"/>
      <c r="D328" s="14"/>
      <c r="E328" s="14"/>
      <c r="F328" s="1565" t="s">
        <v>63</v>
      </c>
      <c r="G328" s="1566"/>
      <c r="H328" s="16"/>
      <c r="I328" s="1565" t="s">
        <v>64</v>
      </c>
      <c r="J328" s="1566"/>
      <c r="K328" s="16"/>
      <c r="L328" s="1565" t="s">
        <v>65</v>
      </c>
      <c r="M328" s="1566"/>
      <c r="N328" s="16"/>
      <c r="O328" s="1565" t="s">
        <v>66</v>
      </c>
      <c r="P328" s="1566"/>
    </row>
    <row r="329" spans="1:16" s="1022" customFormat="1" ht="13.5" thickBot="1" x14ac:dyDescent="0.25">
      <c r="B329" s="1559"/>
      <c r="C329" s="14"/>
      <c r="D329" s="17" t="s">
        <v>67</v>
      </c>
      <c r="E329" s="14"/>
      <c r="F329" s="18" t="s">
        <v>68</v>
      </c>
      <c r="G329" s="19" t="s">
        <v>69</v>
      </c>
      <c r="H329" s="16"/>
      <c r="I329" s="18" t="s">
        <v>68</v>
      </c>
      <c r="J329" s="19" t="s">
        <v>69</v>
      </c>
      <c r="K329" s="16"/>
      <c r="L329" s="18" t="s">
        <v>68</v>
      </c>
      <c r="M329" s="19" t="s">
        <v>69</v>
      </c>
      <c r="N329" s="16"/>
      <c r="O329" s="18" t="s">
        <v>68</v>
      </c>
      <c r="P329" s="19" t="s">
        <v>70</v>
      </c>
    </row>
    <row r="330" spans="1:16" s="1022" customFormat="1" x14ac:dyDescent="0.2">
      <c r="B330" s="1559"/>
      <c r="C330" s="21" t="s">
        <v>71</v>
      </c>
      <c r="D330" s="22"/>
      <c r="E330" s="23"/>
      <c r="F330" s="24">
        <v>0.63</v>
      </c>
      <c r="G330" s="25">
        <f>+F330*D330</f>
        <v>0</v>
      </c>
      <c r="H330" s="23"/>
      <c r="I330" s="26">
        <v>0.06</v>
      </c>
      <c r="J330" s="25">
        <f t="shared" ref="J330:J347" si="41">+I330*D330</f>
        <v>0</v>
      </c>
      <c r="K330" s="23"/>
      <c r="L330" s="27">
        <v>2E-3</v>
      </c>
      <c r="M330" s="25">
        <f>+L330*D330</f>
        <v>0</v>
      </c>
      <c r="N330" s="23"/>
      <c r="O330" s="28">
        <v>1.388E-2</v>
      </c>
      <c r="P330" s="25">
        <f>+O330*D330</f>
        <v>0</v>
      </c>
    </row>
    <row r="331" spans="1:16" s="1022" customFormat="1" x14ac:dyDescent="0.2">
      <c r="B331" s="1559"/>
      <c r="C331" s="21" t="s">
        <v>71</v>
      </c>
      <c r="D331" s="22"/>
      <c r="E331" s="23"/>
      <c r="F331" s="24">
        <v>0.63</v>
      </c>
      <c r="G331" s="25">
        <f t="shared" ref="G331:G347" si="42">+F331*D331</f>
        <v>0</v>
      </c>
      <c r="H331" s="23"/>
      <c r="I331" s="26">
        <v>0.06</v>
      </c>
      <c r="J331" s="25">
        <f t="shared" si="41"/>
        <v>0</v>
      </c>
      <c r="K331" s="23"/>
      <c r="L331" s="27">
        <v>2E-3</v>
      </c>
      <c r="M331" s="25">
        <f t="shared" ref="M331:M347" si="43">+L331*D331</f>
        <v>0</v>
      </c>
      <c r="N331" s="23"/>
      <c r="O331" s="28">
        <v>1.388E-2</v>
      </c>
      <c r="P331" s="25">
        <f t="shared" ref="P331:P333" si="44">+O331*D331</f>
        <v>0</v>
      </c>
    </row>
    <row r="332" spans="1:16" s="1022" customFormat="1" x14ac:dyDescent="0.2">
      <c r="B332" s="1559"/>
      <c r="C332" s="21" t="s">
        <v>72</v>
      </c>
      <c r="D332" s="1554">
        <f>2552.74-10</f>
        <v>2542.7399999999998</v>
      </c>
      <c r="E332" s="23"/>
      <c r="F332" s="24">
        <f>0.65*1.09</f>
        <v>0.70850000000000013</v>
      </c>
      <c r="G332" s="30">
        <f t="shared" si="42"/>
        <v>1801.5312900000001</v>
      </c>
      <c r="H332" s="23"/>
      <c r="I332" s="31">
        <v>7.0000000000000007E-2</v>
      </c>
      <c r="J332" s="30">
        <f t="shared" si="41"/>
        <v>177.99180000000001</v>
      </c>
      <c r="K332" s="23"/>
      <c r="L332" s="32">
        <v>4.5999999999999999E-3</v>
      </c>
      <c r="M332" s="30">
        <f t="shared" si="43"/>
        <v>11.696603999999999</v>
      </c>
      <c r="N332" s="23"/>
      <c r="O332" s="33">
        <v>1.7860000000000001E-2</v>
      </c>
      <c r="P332" s="30">
        <f t="shared" si="44"/>
        <v>45.413336399999999</v>
      </c>
    </row>
    <row r="333" spans="1:16" s="1022" customFormat="1" x14ac:dyDescent="0.2">
      <c r="B333" s="1559"/>
      <c r="C333" s="21" t="s">
        <v>73</v>
      </c>
      <c r="D333" s="29">
        <f>3554.49-16</f>
        <v>3538.49</v>
      </c>
      <c r="E333" s="23"/>
      <c r="F333" s="24">
        <f>0.7*0.11</f>
        <v>7.6999999999999999E-2</v>
      </c>
      <c r="G333" s="30">
        <f t="shared" si="42"/>
        <v>272.46373</v>
      </c>
      <c r="H333" s="23"/>
      <c r="I333" s="31">
        <v>7.0000000000000007E-2</v>
      </c>
      <c r="J333" s="30">
        <f t="shared" si="41"/>
        <v>247.6943</v>
      </c>
      <c r="K333" s="23"/>
      <c r="L333" s="32">
        <v>8.0999999999999996E-3</v>
      </c>
      <c r="M333" s="30">
        <f t="shared" si="43"/>
        <v>28.661768999999996</v>
      </c>
      <c r="N333" s="23"/>
      <c r="O333" s="33">
        <v>2.5000000000000001E-2</v>
      </c>
      <c r="P333" s="30">
        <f t="shared" si="44"/>
        <v>88.462249999999997</v>
      </c>
    </row>
    <row r="334" spans="1:16" s="1022" customFormat="1" x14ac:dyDescent="0.2">
      <c r="B334" s="1559"/>
      <c r="C334" s="21" t="s">
        <v>74</v>
      </c>
      <c r="D334" s="21"/>
      <c r="E334" s="23"/>
      <c r="F334" s="24">
        <v>0.81</v>
      </c>
      <c r="G334" s="30">
        <f t="shared" si="42"/>
        <v>0</v>
      </c>
      <c r="H334" s="23"/>
      <c r="I334" s="31">
        <v>7.0000000000000007E-2</v>
      </c>
      <c r="J334" s="30">
        <f t="shared" si="41"/>
        <v>0</v>
      </c>
      <c r="K334" s="23"/>
      <c r="L334" s="32">
        <v>1.8200000000000001E-2</v>
      </c>
      <c r="M334" s="30">
        <f t="shared" si="43"/>
        <v>0</v>
      </c>
      <c r="N334" s="23"/>
      <c r="O334" s="33">
        <v>7.8100000000000003E-2</v>
      </c>
      <c r="P334" s="30"/>
    </row>
    <row r="335" spans="1:16" s="1022" customFormat="1" x14ac:dyDescent="0.2">
      <c r="B335" s="1559"/>
      <c r="C335" s="21" t="s">
        <v>75</v>
      </c>
      <c r="D335" s="21"/>
      <c r="E335" s="23"/>
      <c r="F335" s="24">
        <v>0.9</v>
      </c>
      <c r="G335" s="30">
        <f t="shared" si="42"/>
        <v>0</v>
      </c>
      <c r="H335" s="23"/>
      <c r="I335" s="31">
        <v>7.4999999999999997E-2</v>
      </c>
      <c r="J335" s="30">
        <f t="shared" si="41"/>
        <v>0</v>
      </c>
      <c r="K335" s="23"/>
      <c r="L335" s="32">
        <v>3.2399999999999998E-2</v>
      </c>
      <c r="M335" s="30">
        <f t="shared" si="43"/>
        <v>0</v>
      </c>
      <c r="N335" s="23"/>
      <c r="O335" s="33">
        <v>0.156</v>
      </c>
      <c r="P335" s="30">
        <f t="shared" ref="P335:P347" si="45">+O335*D335</f>
        <v>0</v>
      </c>
    </row>
    <row r="336" spans="1:16" s="1022" customFormat="1" x14ac:dyDescent="0.2">
      <c r="B336" s="1559"/>
      <c r="C336" s="21" t="s">
        <v>76</v>
      </c>
      <c r="D336" s="21"/>
      <c r="E336" s="23"/>
      <c r="F336" s="24">
        <v>1</v>
      </c>
      <c r="G336" s="30">
        <f t="shared" si="42"/>
        <v>0</v>
      </c>
      <c r="H336" s="23"/>
      <c r="I336" s="31">
        <v>0.08</v>
      </c>
      <c r="J336" s="30">
        <f t="shared" si="41"/>
        <v>0</v>
      </c>
      <c r="K336" s="23"/>
      <c r="L336" s="32">
        <v>5.0700000000000002E-2</v>
      </c>
      <c r="M336" s="30">
        <f t="shared" si="43"/>
        <v>0</v>
      </c>
      <c r="N336" s="23"/>
      <c r="O336" s="33">
        <v>0.23430000000000001</v>
      </c>
      <c r="P336" s="30">
        <f t="shared" si="45"/>
        <v>0</v>
      </c>
    </row>
    <row r="337" spans="2:16" s="1022" customFormat="1" x14ac:dyDescent="0.2">
      <c r="B337" s="1559"/>
      <c r="C337" s="21" t="s">
        <v>77</v>
      </c>
      <c r="D337" s="21"/>
      <c r="E337" s="23"/>
      <c r="F337" s="24">
        <v>1.1100000000000001</v>
      </c>
      <c r="G337" s="30">
        <f t="shared" si="42"/>
        <v>0</v>
      </c>
      <c r="H337" s="23"/>
      <c r="I337" s="31">
        <v>8.5000000000000006E-2</v>
      </c>
      <c r="J337" s="30">
        <f t="shared" si="41"/>
        <v>0</v>
      </c>
      <c r="K337" s="23"/>
      <c r="L337" s="32">
        <v>7.2999999999999995E-2</v>
      </c>
      <c r="M337" s="30">
        <f t="shared" si="43"/>
        <v>0</v>
      </c>
      <c r="N337" s="23"/>
      <c r="O337" s="33">
        <v>0.3125</v>
      </c>
      <c r="P337" s="30">
        <f t="shared" si="45"/>
        <v>0</v>
      </c>
    </row>
    <row r="338" spans="2:16" s="1022" customFormat="1" x14ac:dyDescent="0.2">
      <c r="B338" s="1559"/>
      <c r="C338" s="21" t="s">
        <v>78</v>
      </c>
      <c r="D338" s="21"/>
      <c r="E338" s="23"/>
      <c r="F338" s="24">
        <v>1.22</v>
      </c>
      <c r="G338" s="30">
        <f t="shared" si="42"/>
        <v>0</v>
      </c>
      <c r="H338" s="23"/>
      <c r="I338" s="31">
        <v>0.09</v>
      </c>
      <c r="J338" s="30">
        <f t="shared" si="41"/>
        <v>0</v>
      </c>
      <c r="K338" s="23"/>
      <c r="L338" s="32">
        <v>9.9299999999999999E-2</v>
      </c>
      <c r="M338" s="30">
        <f t="shared" si="43"/>
        <v>0</v>
      </c>
      <c r="N338" s="23"/>
      <c r="O338" s="33"/>
      <c r="P338" s="30">
        <f t="shared" si="45"/>
        <v>0</v>
      </c>
    </row>
    <row r="339" spans="2:16" s="1022" customFormat="1" x14ac:dyDescent="0.2">
      <c r="B339" s="1559"/>
      <c r="C339" s="21" t="s">
        <v>79</v>
      </c>
      <c r="D339" s="21"/>
      <c r="E339" s="23"/>
      <c r="F339" s="24">
        <v>1.4</v>
      </c>
      <c r="G339" s="30">
        <f t="shared" si="42"/>
        <v>0</v>
      </c>
      <c r="H339" s="23"/>
      <c r="I339" s="31">
        <v>0.1</v>
      </c>
      <c r="J339" s="30">
        <f t="shared" si="41"/>
        <v>0</v>
      </c>
      <c r="K339" s="23"/>
      <c r="L339" s="32">
        <v>0.12970000000000001</v>
      </c>
      <c r="M339" s="30">
        <f t="shared" si="43"/>
        <v>0</v>
      </c>
      <c r="N339" s="23"/>
      <c r="O339" s="33">
        <v>0.41660000000000003</v>
      </c>
      <c r="P339" s="30">
        <f t="shared" si="45"/>
        <v>0</v>
      </c>
    </row>
    <row r="340" spans="2:16" s="1022" customFormat="1" x14ac:dyDescent="0.2">
      <c r="B340" s="1559"/>
      <c r="C340" s="21" t="s">
        <v>80</v>
      </c>
      <c r="D340" s="21"/>
      <c r="E340" s="23"/>
      <c r="F340" s="24">
        <v>1.67</v>
      </c>
      <c r="G340" s="30">
        <f t="shared" si="42"/>
        <v>0</v>
      </c>
      <c r="H340" s="23"/>
      <c r="I340" s="31">
        <v>0.115</v>
      </c>
      <c r="J340" s="30">
        <f t="shared" si="41"/>
        <v>0</v>
      </c>
      <c r="K340" s="23"/>
      <c r="L340" s="32">
        <v>0.16420000000000001</v>
      </c>
      <c r="M340" s="30">
        <f t="shared" si="43"/>
        <v>0</v>
      </c>
      <c r="N340" s="23"/>
      <c r="O340" s="33"/>
      <c r="P340" s="30">
        <f t="shared" si="45"/>
        <v>0</v>
      </c>
    </row>
    <row r="341" spans="2:16" s="1022" customFormat="1" x14ac:dyDescent="0.2">
      <c r="B341" s="1559"/>
      <c r="C341" s="21" t="s">
        <v>81</v>
      </c>
      <c r="D341" s="21"/>
      <c r="E341" s="23"/>
      <c r="F341" s="24">
        <v>1.8</v>
      </c>
      <c r="G341" s="30">
        <f t="shared" si="42"/>
        <v>0</v>
      </c>
      <c r="H341" s="23"/>
      <c r="I341" s="31">
        <v>0.12</v>
      </c>
      <c r="J341" s="30">
        <f t="shared" si="41"/>
        <v>0</v>
      </c>
      <c r="K341" s="23"/>
      <c r="L341" s="32">
        <v>0.20269999999999999</v>
      </c>
      <c r="M341" s="30">
        <f t="shared" si="43"/>
        <v>0</v>
      </c>
      <c r="N341" s="23"/>
      <c r="O341" s="33"/>
      <c r="P341" s="30">
        <f t="shared" si="45"/>
        <v>0</v>
      </c>
    </row>
    <row r="342" spans="2:16" s="1022" customFormat="1" x14ac:dyDescent="0.2">
      <c r="B342" s="1559"/>
      <c r="C342" s="21" t="s">
        <v>82</v>
      </c>
      <c r="D342" s="21"/>
      <c r="E342" s="23"/>
      <c r="F342" s="24">
        <v>2.15</v>
      </c>
      <c r="G342" s="30">
        <f t="shared" si="42"/>
        <v>0</v>
      </c>
      <c r="H342" s="23"/>
      <c r="I342" s="31"/>
      <c r="J342" s="30">
        <f t="shared" si="41"/>
        <v>0</v>
      </c>
      <c r="K342" s="23"/>
      <c r="L342" s="32">
        <v>0.29189999999999999</v>
      </c>
      <c r="M342" s="30">
        <f t="shared" si="43"/>
        <v>0</v>
      </c>
      <c r="N342" s="23"/>
      <c r="O342" s="33"/>
      <c r="P342" s="30">
        <f t="shared" si="45"/>
        <v>0</v>
      </c>
    </row>
    <row r="343" spans="2:16" s="1022" customFormat="1" x14ac:dyDescent="0.2">
      <c r="B343" s="1559"/>
      <c r="C343" s="21" t="s">
        <v>83</v>
      </c>
      <c r="D343" s="21"/>
      <c r="E343" s="23"/>
      <c r="F343" s="24">
        <v>2.78</v>
      </c>
      <c r="G343" s="30">
        <f t="shared" si="42"/>
        <v>0</v>
      </c>
      <c r="H343" s="23"/>
      <c r="I343" s="31"/>
      <c r="J343" s="30">
        <f t="shared" si="41"/>
        <v>0</v>
      </c>
      <c r="K343" s="23"/>
      <c r="L343" s="32">
        <v>0.45600000000000002</v>
      </c>
      <c r="M343" s="30">
        <f t="shared" si="43"/>
        <v>0</v>
      </c>
      <c r="N343" s="23"/>
      <c r="O343" s="33"/>
      <c r="P343" s="30">
        <f t="shared" si="45"/>
        <v>0</v>
      </c>
    </row>
    <row r="344" spans="2:16" s="1022" customFormat="1" x14ac:dyDescent="0.2">
      <c r="B344" s="1559"/>
      <c r="C344" s="21" t="s">
        <v>84</v>
      </c>
      <c r="D344" s="21"/>
      <c r="E344" s="23"/>
      <c r="F344" s="24">
        <v>3.72</v>
      </c>
      <c r="G344" s="30">
        <f t="shared" si="42"/>
        <v>0</v>
      </c>
      <c r="H344" s="23"/>
      <c r="I344" s="31"/>
      <c r="J344" s="30">
        <f t="shared" si="41"/>
        <v>0</v>
      </c>
      <c r="K344" s="23"/>
      <c r="L344" s="32">
        <v>0.65669999999999995</v>
      </c>
      <c r="M344" s="30">
        <f t="shared" si="43"/>
        <v>0</v>
      </c>
      <c r="N344" s="23"/>
      <c r="O344" s="33"/>
      <c r="P344" s="30">
        <f t="shared" si="45"/>
        <v>0</v>
      </c>
    </row>
    <row r="345" spans="2:16" s="1022" customFormat="1" x14ac:dyDescent="0.2">
      <c r="B345" s="1559"/>
      <c r="C345" s="21" t="s">
        <v>85</v>
      </c>
      <c r="D345" s="21"/>
      <c r="E345" s="23"/>
      <c r="F345" s="24">
        <v>3.95</v>
      </c>
      <c r="G345" s="30">
        <f t="shared" si="42"/>
        <v>0</v>
      </c>
      <c r="H345" s="23"/>
      <c r="I345" s="31"/>
      <c r="J345" s="30">
        <f t="shared" si="41"/>
        <v>0</v>
      </c>
      <c r="K345" s="23"/>
      <c r="L345" s="32">
        <v>0.73170000000000002</v>
      </c>
      <c r="M345" s="30">
        <f t="shared" si="43"/>
        <v>0</v>
      </c>
      <c r="N345" s="23"/>
      <c r="O345" s="33"/>
      <c r="P345" s="30">
        <f t="shared" si="45"/>
        <v>0</v>
      </c>
    </row>
    <row r="346" spans="2:16" s="1022" customFormat="1" x14ac:dyDescent="0.2">
      <c r="B346" s="1559"/>
      <c r="C346" s="21" t="s">
        <v>86</v>
      </c>
      <c r="D346" s="21"/>
      <c r="E346" s="23"/>
      <c r="F346" s="24">
        <v>4.16</v>
      </c>
      <c r="G346" s="30">
        <f t="shared" si="42"/>
        <v>0</v>
      </c>
      <c r="H346" s="23"/>
      <c r="I346" s="31"/>
      <c r="J346" s="30">
        <f t="shared" si="41"/>
        <v>0</v>
      </c>
      <c r="K346" s="23"/>
      <c r="L346" s="32">
        <v>0.81069999999999998</v>
      </c>
      <c r="M346" s="30">
        <f t="shared" si="43"/>
        <v>0</v>
      </c>
      <c r="N346" s="23"/>
      <c r="O346" s="33"/>
      <c r="P346" s="30">
        <f t="shared" si="45"/>
        <v>0</v>
      </c>
    </row>
    <row r="347" spans="2:16" s="1022" customFormat="1" ht="13.5" thickBot="1" x14ac:dyDescent="0.25">
      <c r="B347" s="1559"/>
      <c r="C347" s="34" t="s">
        <v>87</v>
      </c>
      <c r="D347" s="34"/>
      <c r="E347" s="23"/>
      <c r="F347" s="24">
        <v>4.3600000000000003</v>
      </c>
      <c r="G347" s="30">
        <f t="shared" si="42"/>
        <v>0</v>
      </c>
      <c r="H347" s="23"/>
      <c r="I347" s="31"/>
      <c r="J347" s="30">
        <f t="shared" si="41"/>
        <v>0</v>
      </c>
      <c r="K347" s="23"/>
      <c r="L347" s="32">
        <v>0.89380000000000004</v>
      </c>
      <c r="M347" s="30">
        <f t="shared" si="43"/>
        <v>0</v>
      </c>
      <c r="N347" s="23"/>
      <c r="O347" s="33"/>
      <c r="P347" s="30">
        <f t="shared" si="45"/>
        <v>0</v>
      </c>
    </row>
    <row r="348" spans="2:16" s="1022" customFormat="1" ht="16.5" thickBot="1" x14ac:dyDescent="0.3">
      <c r="B348" s="1559"/>
      <c r="C348" s="36"/>
      <c r="D348" s="37">
        <f>SUM(D330:D347)</f>
        <v>6081.23</v>
      </c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</row>
    <row r="349" spans="2:16" s="1022" customFormat="1" ht="13.5" thickBot="1" x14ac:dyDescent="0.25">
      <c r="B349" s="1559"/>
      <c r="C349" s="23"/>
      <c r="D349" s="38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</row>
    <row r="350" spans="2:16" s="1022" customFormat="1" ht="16.5" thickBot="1" x14ac:dyDescent="0.3">
      <c r="B350" s="1559"/>
      <c r="C350" s="23"/>
      <c r="D350" s="39" t="s">
        <v>88</v>
      </c>
      <c r="E350" s="40"/>
      <c r="F350" s="41" t="s">
        <v>89</v>
      </c>
      <c r="G350" s="37">
        <f>SUM(G330:G348)</f>
        <v>2073.9950200000003</v>
      </c>
      <c r="H350" s="42"/>
      <c r="I350" s="43" t="s">
        <v>90</v>
      </c>
      <c r="J350" s="37">
        <f>SUM(J330:J348)</f>
        <v>425.68610000000001</v>
      </c>
      <c r="K350" s="44"/>
      <c r="L350" s="41" t="s">
        <v>91</v>
      </c>
      <c r="M350" s="37">
        <f>SUM(M330:M348)</f>
        <v>40.358372999999993</v>
      </c>
      <c r="N350" s="44"/>
      <c r="O350" s="41" t="s">
        <v>92</v>
      </c>
      <c r="P350" s="37">
        <f>(SUM(P330:P348)/6)*0.25</f>
        <v>5.5781494333333335</v>
      </c>
    </row>
    <row r="351" spans="2:16" s="1022" customFormat="1" ht="13.5" thickBot="1" x14ac:dyDescent="0.25">
      <c r="B351" s="1559"/>
      <c r="C351" s="23"/>
      <c r="D351" s="23"/>
      <c r="E351" s="23"/>
      <c r="F351" s="23"/>
      <c r="G351" s="45"/>
      <c r="H351" s="45"/>
      <c r="I351" s="45"/>
      <c r="J351" s="45"/>
      <c r="K351" s="23"/>
      <c r="L351" s="23"/>
      <c r="M351" s="23"/>
      <c r="N351" s="23"/>
      <c r="O351" s="23"/>
      <c r="P351" s="23"/>
    </row>
    <row r="352" spans="2:16" s="1022" customFormat="1" ht="16.5" thickBot="1" x14ac:dyDescent="0.3">
      <c r="B352" s="1559"/>
      <c r="C352" s="23"/>
      <c r="D352" s="46" t="s">
        <v>93</v>
      </c>
      <c r="E352" s="47"/>
      <c r="F352" s="47"/>
      <c r="G352" s="47"/>
      <c r="H352" s="47"/>
      <c r="I352" s="47"/>
      <c r="J352" s="48">
        <f>(G350-J350-M350)*0.95</f>
        <v>1527.5530196500004</v>
      </c>
      <c r="K352" s="23"/>
      <c r="L352" s="23"/>
      <c r="M352" s="23"/>
      <c r="N352" s="23"/>
      <c r="O352" s="23"/>
      <c r="P352" s="23"/>
    </row>
    <row r="353" spans="2:16" s="1022" customFormat="1" ht="13.5" thickBot="1" x14ac:dyDescent="0.25">
      <c r="B353" s="1559"/>
      <c r="C353" s="23"/>
      <c r="D353" s="23"/>
      <c r="E353" s="23"/>
      <c r="F353" s="23"/>
      <c r="G353" s="45"/>
      <c r="H353" s="45"/>
      <c r="I353" s="45"/>
      <c r="J353" s="45"/>
      <c r="K353" s="23"/>
      <c r="L353" s="23"/>
      <c r="M353" s="23"/>
      <c r="N353" s="23"/>
      <c r="O353" s="23"/>
      <c r="P353" s="23"/>
    </row>
    <row r="354" spans="2:16" s="1022" customFormat="1" ht="16.5" thickBot="1" x14ac:dyDescent="0.3">
      <c r="B354" s="1559"/>
      <c r="C354" s="23"/>
      <c r="D354" s="46" t="s">
        <v>94</v>
      </c>
      <c r="E354" s="49"/>
      <c r="F354" s="49"/>
      <c r="G354" s="49"/>
      <c r="H354" s="49"/>
      <c r="I354" s="49"/>
      <c r="J354" s="48">
        <f>((G350-J352)*1.2)</f>
        <v>655.73040041999991</v>
      </c>
      <c r="K354" s="23"/>
      <c r="L354" s="23"/>
      <c r="M354" s="23"/>
      <c r="N354" s="23"/>
      <c r="O354" s="23"/>
      <c r="P354" s="23"/>
    </row>
    <row r="355" spans="2:16" s="1022" customFormat="1" x14ac:dyDescent="0.2">
      <c r="B355" s="1559"/>
      <c r="C355" s="23"/>
      <c r="D355" s="23"/>
      <c r="E355" s="23"/>
      <c r="F355" s="23"/>
      <c r="G355" s="23"/>
      <c r="H355" s="23"/>
      <c r="I355" s="23"/>
      <c r="J355" s="23">
        <f>+M357</f>
        <v>746.63820720000001</v>
      </c>
      <c r="K355" s="23"/>
      <c r="L355" s="23"/>
      <c r="M355" s="23"/>
      <c r="N355" s="23"/>
      <c r="O355" s="23"/>
      <c r="P355" s="23"/>
    </row>
    <row r="356" spans="2:16" s="1022" customFormat="1" ht="18" x14ac:dyDescent="0.25">
      <c r="B356" s="1559"/>
      <c r="C356" s="23"/>
      <c r="D356" s="1567" t="s">
        <v>95</v>
      </c>
      <c r="E356" s="1567"/>
      <c r="F356" s="1567"/>
      <c r="G356" s="1567"/>
      <c r="H356" s="23"/>
      <c r="I356" s="23"/>
      <c r="J356" s="23">
        <f>+J354+J355</f>
        <v>1402.3686076199999</v>
      </c>
      <c r="K356" s="23"/>
      <c r="L356" s="23"/>
      <c r="M356" s="23" t="s">
        <v>636</v>
      </c>
      <c r="N356" s="23"/>
      <c r="O356" s="23"/>
      <c r="P356" s="23"/>
    </row>
    <row r="357" spans="2:16" s="1022" customFormat="1" ht="13.5" thickBot="1" x14ac:dyDescent="0.25">
      <c r="B357" s="1559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>
        <f>+G350*0.3*1.2</f>
        <v>746.63820720000001</v>
      </c>
      <c r="N357" s="23"/>
      <c r="O357" s="23"/>
      <c r="P357" s="23"/>
    </row>
    <row r="358" spans="2:16" s="1022" customFormat="1" ht="13.5" thickBot="1" x14ac:dyDescent="0.25">
      <c r="B358" s="1559"/>
      <c r="C358" s="45"/>
      <c r="D358" s="50" t="s">
        <v>96</v>
      </c>
      <c r="E358" s="45"/>
      <c r="F358" s="50" t="s">
        <v>97</v>
      </c>
      <c r="G358" s="51" t="s">
        <v>98</v>
      </c>
      <c r="H358" s="23"/>
      <c r="I358" s="23"/>
      <c r="J358" s="23"/>
      <c r="K358" s="23"/>
      <c r="L358" s="23"/>
      <c r="M358" s="23"/>
      <c r="N358" s="23"/>
      <c r="O358" s="23"/>
      <c r="P358" s="23"/>
    </row>
    <row r="359" spans="2:16" s="1022" customFormat="1" x14ac:dyDescent="0.2">
      <c r="B359" s="1559"/>
      <c r="C359" s="21" t="s">
        <v>71</v>
      </c>
      <c r="D359" s="25"/>
      <c r="E359" s="45"/>
      <c r="F359" s="52">
        <v>0.02</v>
      </c>
      <c r="G359" s="53">
        <f>(F359*D359)+D359</f>
        <v>0</v>
      </c>
      <c r="H359" s="23"/>
      <c r="I359" s="23"/>
      <c r="J359" s="23"/>
      <c r="K359" s="1188" t="s">
        <v>871</v>
      </c>
      <c r="L359" s="23"/>
      <c r="M359" s="23">
        <f>+G350*0.7</f>
        <v>1451.7965140000001</v>
      </c>
      <c r="N359" s="23"/>
      <c r="O359" s="23"/>
      <c r="P359" s="23"/>
    </row>
    <row r="360" spans="2:16" s="1022" customFormat="1" x14ac:dyDescent="0.2">
      <c r="B360" s="1559"/>
      <c r="C360" s="21" t="s">
        <v>72</v>
      </c>
      <c r="D360" s="25">
        <f>+D332</f>
        <v>2542.7399999999998</v>
      </c>
      <c r="E360" s="45"/>
      <c r="F360" s="54">
        <v>0.02</v>
      </c>
      <c r="G360" s="55">
        <f>(F360*D360)+D360</f>
        <v>2593.5947999999999</v>
      </c>
      <c r="H360" s="23"/>
      <c r="I360" s="23"/>
      <c r="J360" s="23"/>
      <c r="K360" s="1188" t="s">
        <v>872</v>
      </c>
      <c r="L360" s="23"/>
      <c r="M360" s="23">
        <f>+G350*0.3</f>
        <v>622.19850600000007</v>
      </c>
      <c r="N360" s="23"/>
      <c r="O360" s="23"/>
      <c r="P360" s="23"/>
    </row>
    <row r="361" spans="2:16" s="1022" customFormat="1" x14ac:dyDescent="0.2">
      <c r="B361" s="1559"/>
      <c r="C361" s="21" t="s">
        <v>73</v>
      </c>
      <c r="D361" s="25">
        <f>D333</f>
        <v>3538.49</v>
      </c>
      <c r="E361" s="45"/>
      <c r="F361" s="54">
        <v>0.02</v>
      </c>
      <c r="G361" s="55">
        <f>(F361*D361)+D361</f>
        <v>3609.2597999999998</v>
      </c>
      <c r="H361" s="23"/>
      <c r="I361" s="23"/>
      <c r="J361" s="23"/>
      <c r="K361" s="23"/>
      <c r="L361" s="23"/>
      <c r="M361" s="23"/>
      <c r="N361" s="23"/>
      <c r="O361" s="23"/>
      <c r="P361" s="23"/>
    </row>
    <row r="362" spans="2:16" s="1022" customFormat="1" x14ac:dyDescent="0.2">
      <c r="B362" s="1559"/>
      <c r="C362" s="21" t="s">
        <v>74</v>
      </c>
      <c r="D362" s="25">
        <f>D334</f>
        <v>0</v>
      </c>
      <c r="E362" s="45"/>
      <c r="F362" s="54">
        <v>0.03</v>
      </c>
      <c r="G362" s="55">
        <f>(F362*D362)+D362</f>
        <v>0</v>
      </c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2:16" s="1022" customFormat="1" x14ac:dyDescent="0.2">
      <c r="B363" s="1559"/>
      <c r="C363" s="21" t="s">
        <v>75</v>
      </c>
      <c r="D363" s="25">
        <f>D335</f>
        <v>0</v>
      </c>
      <c r="E363" s="45"/>
      <c r="F363" s="54">
        <v>0.03</v>
      </c>
      <c r="G363" s="55">
        <f>D363*F363+D363</f>
        <v>0</v>
      </c>
      <c r="H363" s="23"/>
      <c r="I363" s="23"/>
      <c r="J363" s="23"/>
      <c r="K363" s="23"/>
      <c r="L363" s="23"/>
      <c r="M363" s="23"/>
      <c r="N363" s="23"/>
      <c r="O363" s="23"/>
      <c r="P363" s="23"/>
    </row>
    <row r="364" spans="2:16" s="1022" customFormat="1" x14ac:dyDescent="0.2">
      <c r="B364" s="1559"/>
      <c r="C364" s="21" t="s">
        <v>76</v>
      </c>
      <c r="D364" s="25">
        <f t="shared" ref="D364:D375" si="46">D336</f>
        <v>0</v>
      </c>
      <c r="E364" s="45"/>
      <c r="F364" s="54">
        <v>0.04</v>
      </c>
      <c r="G364" s="55">
        <f t="shared" ref="G364:G375" si="47">(F364*D364)+D364</f>
        <v>0</v>
      </c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2:16" s="1022" customFormat="1" x14ac:dyDescent="0.2">
      <c r="B365" s="1559"/>
      <c r="C365" s="21" t="s">
        <v>77</v>
      </c>
      <c r="D365" s="25">
        <f t="shared" si="46"/>
        <v>0</v>
      </c>
      <c r="E365" s="45"/>
      <c r="F365" s="54">
        <v>0.04</v>
      </c>
      <c r="G365" s="55">
        <f t="shared" si="47"/>
        <v>0</v>
      </c>
      <c r="H365" s="23"/>
      <c r="I365" s="23"/>
      <c r="J365" s="23"/>
      <c r="K365" s="23"/>
      <c r="L365" s="23"/>
      <c r="M365" s="23"/>
      <c r="N365" s="23"/>
      <c r="O365" s="23"/>
      <c r="P365" s="23"/>
    </row>
    <row r="366" spans="2:16" s="1022" customFormat="1" x14ac:dyDescent="0.2">
      <c r="B366" s="1559"/>
      <c r="C366" s="21" t="s">
        <v>78</v>
      </c>
      <c r="D366" s="25">
        <f t="shared" si="46"/>
        <v>0</v>
      </c>
      <c r="E366" s="45"/>
      <c r="F366" s="54">
        <v>0.04</v>
      </c>
      <c r="G366" s="55">
        <f t="shared" si="47"/>
        <v>0</v>
      </c>
      <c r="H366" s="23"/>
      <c r="I366" s="23"/>
      <c r="J366" s="23"/>
      <c r="K366" s="23"/>
      <c r="L366" s="23"/>
      <c r="M366" s="23"/>
      <c r="N366" s="23"/>
      <c r="O366" s="23"/>
      <c r="P366" s="23"/>
    </row>
    <row r="367" spans="2:16" s="1022" customFormat="1" x14ac:dyDescent="0.2">
      <c r="B367" s="1559"/>
      <c r="C367" s="21" t="s">
        <v>79</v>
      </c>
      <c r="D367" s="25">
        <f t="shared" si="46"/>
        <v>0</v>
      </c>
      <c r="E367" s="45"/>
      <c r="F367" s="54">
        <v>0.05</v>
      </c>
      <c r="G367" s="55">
        <f t="shared" si="47"/>
        <v>0</v>
      </c>
      <c r="H367" s="23"/>
      <c r="I367" s="23"/>
      <c r="J367" s="23"/>
      <c r="K367" s="23"/>
      <c r="L367" s="23"/>
      <c r="M367" s="23"/>
      <c r="N367" s="23"/>
      <c r="O367" s="23"/>
      <c r="P367" s="23"/>
    </row>
    <row r="368" spans="2:16" s="1022" customFormat="1" x14ac:dyDescent="0.2">
      <c r="B368" s="1559"/>
      <c r="C368" s="21" t="s">
        <v>80</v>
      </c>
      <c r="D368" s="25">
        <f t="shared" si="46"/>
        <v>0</v>
      </c>
      <c r="E368" s="45"/>
      <c r="F368" s="54">
        <v>0.05</v>
      </c>
      <c r="G368" s="55">
        <f t="shared" si="47"/>
        <v>0</v>
      </c>
      <c r="H368" s="23"/>
      <c r="I368" s="23"/>
      <c r="J368" s="23"/>
      <c r="K368" s="23"/>
      <c r="L368" s="23"/>
      <c r="M368" s="23"/>
      <c r="N368" s="23"/>
      <c r="O368" s="23"/>
      <c r="P368" s="23"/>
    </row>
    <row r="369" spans="2:16" s="1022" customFormat="1" x14ac:dyDescent="0.2">
      <c r="B369" s="1559"/>
      <c r="C369" s="21" t="s">
        <v>81</v>
      </c>
      <c r="D369" s="25">
        <f t="shared" si="46"/>
        <v>0</v>
      </c>
      <c r="E369" s="45"/>
      <c r="F369" s="54">
        <v>0.06</v>
      </c>
      <c r="G369" s="55">
        <f t="shared" si="47"/>
        <v>0</v>
      </c>
      <c r="H369" s="23"/>
      <c r="I369" s="23"/>
      <c r="J369" s="23"/>
      <c r="K369" s="23"/>
      <c r="L369" s="23"/>
      <c r="M369" s="23"/>
      <c r="N369" s="23"/>
      <c r="O369" s="23"/>
      <c r="P369" s="23"/>
    </row>
    <row r="370" spans="2:16" s="1022" customFormat="1" x14ac:dyDescent="0.2">
      <c r="B370" s="1559"/>
      <c r="C370" s="21" t="s">
        <v>82</v>
      </c>
      <c r="D370" s="25">
        <f t="shared" si="46"/>
        <v>0</v>
      </c>
      <c r="E370" s="45"/>
      <c r="F370" s="54">
        <v>7.0000000000000007E-2</v>
      </c>
      <c r="G370" s="55">
        <f t="shared" si="47"/>
        <v>0</v>
      </c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2:16" s="1022" customFormat="1" x14ac:dyDescent="0.2">
      <c r="B371" s="1559"/>
      <c r="C371" s="21" t="s">
        <v>83</v>
      </c>
      <c r="D371" s="25">
        <f t="shared" si="46"/>
        <v>0</v>
      </c>
      <c r="E371" s="45"/>
      <c r="F371" s="54"/>
      <c r="G371" s="55">
        <f t="shared" si="47"/>
        <v>0</v>
      </c>
      <c r="H371" s="23"/>
      <c r="I371" s="23"/>
      <c r="J371" s="23"/>
      <c r="K371" s="23"/>
      <c r="L371" s="23"/>
      <c r="M371" s="23"/>
      <c r="N371" s="23"/>
      <c r="O371" s="23"/>
      <c r="P371" s="23"/>
    </row>
    <row r="372" spans="2:16" s="1022" customFormat="1" x14ac:dyDescent="0.2">
      <c r="B372" s="1559"/>
      <c r="C372" s="21" t="s">
        <v>84</v>
      </c>
      <c r="D372" s="25">
        <f t="shared" si="46"/>
        <v>0</v>
      </c>
      <c r="E372" s="45"/>
      <c r="F372" s="54"/>
      <c r="G372" s="55">
        <f t="shared" si="47"/>
        <v>0</v>
      </c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2:16" s="1022" customFormat="1" x14ac:dyDescent="0.2">
      <c r="B373" s="1559"/>
      <c r="C373" s="21" t="s">
        <v>85</v>
      </c>
      <c r="D373" s="25">
        <f t="shared" si="46"/>
        <v>0</v>
      </c>
      <c r="E373" s="45"/>
      <c r="F373" s="54"/>
      <c r="G373" s="55">
        <f t="shared" si="47"/>
        <v>0</v>
      </c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2:16" s="1022" customFormat="1" x14ac:dyDescent="0.2">
      <c r="B374" s="1559"/>
      <c r="C374" s="21" t="s">
        <v>86</v>
      </c>
      <c r="D374" s="25">
        <f t="shared" si="46"/>
        <v>0</v>
      </c>
      <c r="E374" s="45"/>
      <c r="F374" s="54"/>
      <c r="G374" s="55">
        <f t="shared" si="47"/>
        <v>0</v>
      </c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2:16" s="1022" customFormat="1" x14ac:dyDescent="0.2">
      <c r="B375" s="1559"/>
      <c r="C375" s="21" t="s">
        <v>87</v>
      </c>
      <c r="D375" s="25">
        <f t="shared" si="46"/>
        <v>0</v>
      </c>
      <c r="E375" s="45"/>
      <c r="F375" s="54"/>
      <c r="G375" s="55">
        <f t="shared" si="47"/>
        <v>0</v>
      </c>
      <c r="H375" s="23"/>
      <c r="I375" s="23"/>
      <c r="J375" s="23"/>
      <c r="K375" s="23"/>
      <c r="L375" s="23"/>
      <c r="M375" s="23"/>
      <c r="N375" s="23"/>
      <c r="O375" s="23"/>
      <c r="P375" s="23"/>
    </row>
    <row r="376" spans="2:16" s="1022" customFormat="1" x14ac:dyDescent="0.2">
      <c r="B376" s="1559"/>
      <c r="C376" s="1559"/>
      <c r="D376" s="1559"/>
      <c r="E376" s="1559"/>
      <c r="F376" s="1559"/>
      <c r="G376" s="1559"/>
      <c r="H376" s="1559"/>
      <c r="I376" s="1559"/>
      <c r="J376" s="1559"/>
      <c r="K376" s="1559"/>
      <c r="L376" s="1559"/>
      <c r="M376" s="1559"/>
      <c r="N376" s="1559"/>
      <c r="O376" s="1559"/>
      <c r="P376" s="1559"/>
    </row>
    <row r="377" spans="2:16" s="1022" customFormat="1" x14ac:dyDescent="0.2">
      <c r="B377" s="1559"/>
      <c r="C377" s="1559"/>
      <c r="D377" s="1559"/>
      <c r="E377" s="1559"/>
      <c r="F377" s="1559"/>
      <c r="G377" s="1559"/>
      <c r="H377" s="1559"/>
      <c r="I377" s="1559"/>
      <c r="J377" s="1559"/>
      <c r="K377" s="1559"/>
      <c r="L377" s="1559"/>
      <c r="M377" s="1559"/>
      <c r="N377" s="1559"/>
      <c r="O377" s="1559"/>
      <c r="P377" s="1559"/>
    </row>
    <row r="378" spans="2:16" s="1022" customFormat="1" x14ac:dyDescent="0.2">
      <c r="B378" s="1559"/>
      <c r="C378" s="1559"/>
      <c r="D378" s="1559"/>
      <c r="E378" s="1559"/>
      <c r="F378" s="1559"/>
      <c r="G378" s="1559"/>
      <c r="H378" s="1559"/>
      <c r="I378" s="1559"/>
      <c r="J378" s="1559"/>
      <c r="K378" s="1559"/>
      <c r="L378" s="1559"/>
      <c r="M378" s="1559"/>
      <c r="N378" s="1559"/>
      <c r="O378" s="1559"/>
      <c r="P378" s="1559"/>
    </row>
    <row r="379" spans="2:16" s="1022" customFormat="1" x14ac:dyDescent="0.2"/>
    <row r="380" spans="2:16" s="1022" customFormat="1" x14ac:dyDescent="0.2"/>
    <row r="381" spans="2:16" s="1022" customFormat="1" x14ac:dyDescent="0.2"/>
    <row r="382" spans="2:16" s="1022" customFormat="1" x14ac:dyDescent="0.2"/>
    <row r="383" spans="2:16" s="1022" customFormat="1" x14ac:dyDescent="0.2"/>
    <row r="384" spans="2:16" s="1022" customFormat="1" x14ac:dyDescent="0.2"/>
    <row r="385" spans="3:3" s="1022" customFormat="1" x14ac:dyDescent="0.2"/>
    <row r="386" spans="3:3" s="1022" customFormat="1" x14ac:dyDescent="0.2"/>
    <row r="387" spans="3:3" s="1022" customFormat="1" x14ac:dyDescent="0.2"/>
    <row r="388" spans="3:3" s="1022" customFormat="1" x14ac:dyDescent="0.2"/>
    <row r="389" spans="3:3" s="1022" customFormat="1" x14ac:dyDescent="0.2"/>
    <row r="390" spans="3:3" s="1022" customFormat="1" x14ac:dyDescent="0.2"/>
    <row r="391" spans="3:3" s="1022" customFormat="1" x14ac:dyDescent="0.2"/>
    <row r="392" spans="3:3" s="1022" customFormat="1" x14ac:dyDescent="0.2"/>
    <row r="393" spans="3:3" s="1022" customFormat="1" x14ac:dyDescent="0.2"/>
    <row r="394" spans="3:3" s="1022" customFormat="1" x14ac:dyDescent="0.2"/>
    <row r="395" spans="3:3" s="1022" customFormat="1" x14ac:dyDescent="0.2"/>
    <row r="396" spans="3:3" s="1022" customFormat="1" x14ac:dyDescent="0.2"/>
    <row r="397" spans="3:3" s="954" customFormat="1" x14ac:dyDescent="0.2"/>
    <row r="398" spans="3:3" s="954" customFormat="1" x14ac:dyDescent="0.2"/>
    <row r="399" spans="3:3" s="954" customFormat="1" x14ac:dyDescent="0.2"/>
    <row r="400" spans="3:3" s="61" customFormat="1" ht="13.5" thickBot="1" x14ac:dyDescent="0.25">
      <c r="C400" s="61" t="s">
        <v>99</v>
      </c>
    </row>
    <row r="401" spans="1:17" ht="13.5" thickBot="1" x14ac:dyDescent="0.25">
      <c r="B401" s="14"/>
      <c r="C401" s="14"/>
      <c r="D401" s="14"/>
      <c r="E401" s="1565" t="s">
        <v>63</v>
      </c>
      <c r="F401" s="1566"/>
      <c r="G401" s="16"/>
      <c r="H401" s="1565" t="s">
        <v>64</v>
      </c>
      <c r="I401" s="1566"/>
      <c r="J401" s="16"/>
      <c r="K401" s="1565" t="s">
        <v>65</v>
      </c>
      <c r="L401" s="1566"/>
      <c r="M401" s="16"/>
      <c r="N401" s="1565" t="s">
        <v>66</v>
      </c>
      <c r="O401" s="1566"/>
    </row>
    <row r="402" spans="1:17" ht="13.5" thickBot="1" x14ac:dyDescent="0.25">
      <c r="B402" s="14"/>
      <c r="C402" s="17" t="s">
        <v>67</v>
      </c>
      <c r="D402" s="14"/>
      <c r="E402" s="18" t="s">
        <v>68</v>
      </c>
      <c r="F402" s="19" t="s">
        <v>69</v>
      </c>
      <c r="G402" s="16"/>
      <c r="H402" s="18" t="s">
        <v>68</v>
      </c>
      <c r="I402" s="19" t="s">
        <v>69</v>
      </c>
      <c r="J402" s="16"/>
      <c r="K402" s="18" t="s">
        <v>68</v>
      </c>
      <c r="L402" s="19" t="s">
        <v>69</v>
      </c>
      <c r="M402" s="16"/>
      <c r="N402" s="18" t="s">
        <v>68</v>
      </c>
      <c r="O402" s="19" t="s">
        <v>70</v>
      </c>
    </row>
    <row r="403" spans="1:17" x14ac:dyDescent="0.2">
      <c r="A403" s="20"/>
      <c r="B403" s="21" t="s">
        <v>71</v>
      </c>
      <c r="C403" s="22"/>
      <c r="D403" s="23"/>
      <c r="E403" s="24">
        <v>0.63</v>
      </c>
      <c r="F403" s="25">
        <f>+E403*C403</f>
        <v>0</v>
      </c>
      <c r="G403" s="23"/>
      <c r="H403" s="26">
        <v>0.06</v>
      </c>
      <c r="I403" s="25">
        <f t="shared" ref="I403:I422" si="48">+H403*C403</f>
        <v>0</v>
      </c>
      <c r="J403" s="23"/>
      <c r="K403" s="27">
        <v>2E-3</v>
      </c>
      <c r="L403" s="25">
        <f>+K403*C403</f>
        <v>0</v>
      </c>
      <c r="M403" s="23"/>
      <c r="N403" s="28">
        <v>1.388E-2</v>
      </c>
      <c r="O403" s="25">
        <f>+N403*C403</f>
        <v>0</v>
      </c>
      <c r="P403" s="20"/>
    </row>
    <row r="404" spans="1:17" x14ac:dyDescent="0.2">
      <c r="A404" s="20"/>
      <c r="B404" s="21" t="s">
        <v>71</v>
      </c>
      <c r="C404" s="22"/>
      <c r="D404" s="23"/>
      <c r="E404" s="24">
        <v>0.63</v>
      </c>
      <c r="F404" s="25">
        <f t="shared" ref="F404" si="49">+E404*C404</f>
        <v>0</v>
      </c>
      <c r="G404" s="23"/>
      <c r="H404" s="26">
        <v>0.06</v>
      </c>
      <c r="I404" s="25">
        <f t="shared" si="48"/>
        <v>0</v>
      </c>
      <c r="J404" s="23"/>
      <c r="K404" s="27">
        <v>2E-3</v>
      </c>
      <c r="L404" s="25">
        <f t="shared" ref="L404" si="50">+K404*C404</f>
        <v>0</v>
      </c>
      <c r="M404" s="23"/>
      <c r="N404" s="28">
        <v>1.388E-2</v>
      </c>
      <c r="O404" s="25">
        <f t="shared" ref="O404" si="51">+N404*C404</f>
        <v>0</v>
      </c>
      <c r="P404" s="20"/>
      <c r="Q404">
        <v>0.7</v>
      </c>
    </row>
    <row r="405" spans="1:17" x14ac:dyDescent="0.2">
      <c r="A405" s="20"/>
      <c r="B405" s="21" t="s">
        <v>72</v>
      </c>
      <c r="C405" s="29"/>
      <c r="D405" s="23"/>
      <c r="E405" s="24">
        <v>0.65</v>
      </c>
      <c r="F405" s="30">
        <f>+E405*C405</f>
        <v>0</v>
      </c>
      <c r="G405" s="23"/>
      <c r="H405" s="31">
        <v>0.06</v>
      </c>
      <c r="I405" s="30">
        <f t="shared" si="48"/>
        <v>0</v>
      </c>
      <c r="J405" s="23"/>
      <c r="K405" s="32">
        <v>4.5999999999999999E-3</v>
      </c>
      <c r="L405" s="30">
        <f>+K405*C405</f>
        <v>0</v>
      </c>
      <c r="M405" s="23"/>
      <c r="N405" s="33">
        <v>1.7860000000000001E-2</v>
      </c>
      <c r="O405" s="30">
        <f>+N405*C405</f>
        <v>0</v>
      </c>
      <c r="P405" s="20"/>
    </row>
    <row r="406" spans="1:17" x14ac:dyDescent="0.2">
      <c r="A406" s="20"/>
      <c r="B406" s="21" t="s">
        <v>72</v>
      </c>
      <c r="C406" s="29"/>
      <c r="D406" s="23"/>
      <c r="E406" s="24">
        <v>0.65</v>
      </c>
      <c r="F406" s="30">
        <f t="shared" ref="F406:F422" si="52">+E406*C406</f>
        <v>0</v>
      </c>
      <c r="G406" s="23"/>
      <c r="H406" s="31">
        <v>0.06</v>
      </c>
      <c r="I406" s="30">
        <f t="shared" si="48"/>
        <v>0</v>
      </c>
      <c r="J406" s="23"/>
      <c r="K406" s="32">
        <v>4.5999999999999999E-3</v>
      </c>
      <c r="L406" s="30">
        <f t="shared" ref="L406:L422" si="53">+K406*C406</f>
        <v>0</v>
      </c>
      <c r="M406" s="23"/>
      <c r="N406" s="33">
        <v>1.7860000000000001E-2</v>
      </c>
      <c r="O406" s="30">
        <f t="shared" ref="O406:O407" si="54">+N406*C406</f>
        <v>0</v>
      </c>
      <c r="P406" s="20"/>
    </row>
    <row r="407" spans="1:17" x14ac:dyDescent="0.2">
      <c r="A407" s="20"/>
      <c r="B407" s="21" t="s">
        <v>73</v>
      </c>
      <c r="C407" s="29"/>
      <c r="D407" s="23"/>
      <c r="E407" s="24">
        <v>0.66</v>
      </c>
      <c r="F407" s="30">
        <f t="shared" si="52"/>
        <v>0</v>
      </c>
      <c r="G407" s="23"/>
      <c r="H407" s="31">
        <v>0.06</v>
      </c>
      <c r="I407" s="30">
        <f t="shared" si="48"/>
        <v>0</v>
      </c>
      <c r="J407" s="23"/>
      <c r="K407" s="32">
        <v>8.0999999999999996E-3</v>
      </c>
      <c r="L407" s="30">
        <f t="shared" si="53"/>
        <v>0</v>
      </c>
      <c r="M407" s="23"/>
      <c r="N407" s="33">
        <v>2.5000000000000001E-2</v>
      </c>
      <c r="O407" s="30">
        <f t="shared" si="54"/>
        <v>0</v>
      </c>
      <c r="P407" s="20"/>
    </row>
    <row r="408" spans="1:17" x14ac:dyDescent="0.2">
      <c r="A408" s="20"/>
      <c r="B408" s="21" t="s">
        <v>74</v>
      </c>
      <c r="C408" s="21">
        <v>13612.74</v>
      </c>
      <c r="D408" s="23"/>
      <c r="E408" s="24">
        <v>0.81</v>
      </c>
      <c r="F408" s="30">
        <f t="shared" si="52"/>
        <v>11026.3194</v>
      </c>
      <c r="G408" s="23"/>
      <c r="H408" s="31">
        <v>7.0000000000000007E-2</v>
      </c>
      <c r="I408" s="30">
        <f t="shared" si="48"/>
        <v>952.8918000000001</v>
      </c>
      <c r="J408" s="23"/>
      <c r="K408" s="32">
        <v>1.8200000000000001E-2</v>
      </c>
      <c r="L408" s="30">
        <f t="shared" si="53"/>
        <v>247.751868</v>
      </c>
      <c r="M408" s="23"/>
      <c r="N408" s="33">
        <v>7.8100000000000003E-2</v>
      </c>
      <c r="O408" s="30"/>
      <c r="P408" s="20"/>
      <c r="Q408" s="20">
        <f>13912.74-300</f>
        <v>13612.74</v>
      </c>
    </row>
    <row r="409" spans="1:17" x14ac:dyDescent="0.2">
      <c r="A409" s="20"/>
      <c r="B409" s="21" t="s">
        <v>74</v>
      </c>
      <c r="C409" s="21">
        <v>300</v>
      </c>
      <c r="D409" s="23"/>
      <c r="E409" s="867">
        <f>0.7*3.5</f>
        <v>2.4499999999999997</v>
      </c>
      <c r="F409" s="30">
        <f t="shared" si="52"/>
        <v>734.99999999999989</v>
      </c>
      <c r="G409" s="23"/>
      <c r="H409" s="31"/>
      <c r="I409" s="30">
        <f t="shared" si="48"/>
        <v>0</v>
      </c>
      <c r="J409" s="23"/>
      <c r="K409" s="32">
        <v>1.8200000000000001E-2</v>
      </c>
      <c r="L409" s="30">
        <f t="shared" si="53"/>
        <v>5.46</v>
      </c>
      <c r="M409" s="23"/>
      <c r="N409" s="33">
        <v>7.8100000000000003E-2</v>
      </c>
      <c r="O409" s="30"/>
      <c r="P409" s="20"/>
    </row>
    <row r="410" spans="1:17" x14ac:dyDescent="0.2">
      <c r="A410" s="20"/>
      <c r="B410" s="21" t="s">
        <v>75</v>
      </c>
      <c r="C410" s="21"/>
      <c r="D410" s="23"/>
      <c r="E410" s="24">
        <v>0.9</v>
      </c>
      <c r="F410" s="30">
        <f t="shared" si="52"/>
        <v>0</v>
      </c>
      <c r="G410" s="23"/>
      <c r="H410" s="31">
        <v>7.4999999999999997E-2</v>
      </c>
      <c r="I410" s="30">
        <f t="shared" si="48"/>
        <v>0</v>
      </c>
      <c r="J410" s="23"/>
      <c r="K410" s="32">
        <v>3.2399999999999998E-2</v>
      </c>
      <c r="L410" s="30">
        <f t="shared" si="53"/>
        <v>0</v>
      </c>
      <c r="M410" s="23"/>
      <c r="N410" s="33">
        <v>0.156</v>
      </c>
      <c r="O410" s="30">
        <f t="shared" ref="O410:O422" si="55">+N410*C410</f>
        <v>0</v>
      </c>
      <c r="P410" s="20"/>
    </row>
    <row r="411" spans="1:17" x14ac:dyDescent="0.2">
      <c r="A411" s="20"/>
      <c r="B411" s="21" t="s">
        <v>76</v>
      </c>
      <c r="C411" s="21"/>
      <c r="D411" s="23"/>
      <c r="E411" s="24">
        <v>1</v>
      </c>
      <c r="F411" s="30">
        <f t="shared" si="52"/>
        <v>0</v>
      </c>
      <c r="G411" s="23"/>
      <c r="H411" s="31">
        <v>0.08</v>
      </c>
      <c r="I411" s="30">
        <f t="shared" si="48"/>
        <v>0</v>
      </c>
      <c r="J411" s="23"/>
      <c r="K411" s="32">
        <v>5.0700000000000002E-2</v>
      </c>
      <c r="L411" s="30">
        <f t="shared" si="53"/>
        <v>0</v>
      </c>
      <c r="M411" s="23"/>
      <c r="N411" s="33">
        <v>0.23430000000000001</v>
      </c>
      <c r="O411" s="30">
        <f t="shared" si="55"/>
        <v>0</v>
      </c>
      <c r="P411" s="20"/>
    </row>
    <row r="412" spans="1:17" x14ac:dyDescent="0.2">
      <c r="A412" s="20"/>
      <c r="B412" s="21" t="s">
        <v>77</v>
      </c>
      <c r="C412" s="21"/>
      <c r="D412" s="23"/>
      <c r="E412" s="24">
        <v>1.1100000000000001</v>
      </c>
      <c r="F412" s="30">
        <f t="shared" si="52"/>
        <v>0</v>
      </c>
      <c r="G412" s="23"/>
      <c r="H412" s="31">
        <v>8.5000000000000006E-2</v>
      </c>
      <c r="I412" s="30">
        <f t="shared" si="48"/>
        <v>0</v>
      </c>
      <c r="J412" s="23"/>
      <c r="K412" s="32">
        <v>7.2999999999999995E-2</v>
      </c>
      <c r="L412" s="30">
        <f t="shared" si="53"/>
        <v>0</v>
      </c>
      <c r="M412" s="23"/>
      <c r="N412" s="33">
        <v>0.3125</v>
      </c>
      <c r="O412" s="30">
        <f t="shared" si="55"/>
        <v>0</v>
      </c>
      <c r="P412" s="20"/>
    </row>
    <row r="413" spans="1:17" x14ac:dyDescent="0.2">
      <c r="A413" s="20"/>
      <c r="B413" s="21" t="s">
        <v>78</v>
      </c>
      <c r="C413" s="21"/>
      <c r="D413" s="23"/>
      <c r="E413" s="24">
        <v>1.22</v>
      </c>
      <c r="F413" s="30">
        <f t="shared" si="52"/>
        <v>0</v>
      </c>
      <c r="G413" s="23"/>
      <c r="H413" s="31">
        <v>0.09</v>
      </c>
      <c r="I413" s="30">
        <f t="shared" si="48"/>
        <v>0</v>
      </c>
      <c r="J413" s="23"/>
      <c r="K413" s="32">
        <v>9.9299999999999999E-2</v>
      </c>
      <c r="L413" s="30">
        <f t="shared" si="53"/>
        <v>0</v>
      </c>
      <c r="M413" s="23"/>
      <c r="N413" s="33"/>
      <c r="O413" s="30">
        <f t="shared" si="55"/>
        <v>0</v>
      </c>
      <c r="P413" s="20"/>
    </row>
    <row r="414" spans="1:17" x14ac:dyDescent="0.2">
      <c r="A414" s="20"/>
      <c r="B414" s="21" t="s">
        <v>79</v>
      </c>
      <c r="C414" s="21"/>
      <c r="D414" s="23"/>
      <c r="E414" s="24">
        <v>1.4</v>
      </c>
      <c r="F414" s="30">
        <f t="shared" si="52"/>
        <v>0</v>
      </c>
      <c r="G414" s="23"/>
      <c r="H414" s="31">
        <v>0.1</v>
      </c>
      <c r="I414" s="30">
        <f t="shared" si="48"/>
        <v>0</v>
      </c>
      <c r="J414" s="23"/>
      <c r="K414" s="32">
        <v>0.12970000000000001</v>
      </c>
      <c r="L414" s="30">
        <f t="shared" si="53"/>
        <v>0</v>
      </c>
      <c r="M414" s="23"/>
      <c r="N414" s="33">
        <v>0.41660000000000003</v>
      </c>
      <c r="O414" s="30">
        <f t="shared" si="55"/>
        <v>0</v>
      </c>
      <c r="P414" s="20"/>
    </row>
    <row r="415" spans="1:17" x14ac:dyDescent="0.2">
      <c r="A415" s="20"/>
      <c r="B415" s="21" t="s">
        <v>80</v>
      </c>
      <c r="C415" s="21"/>
      <c r="D415" s="23"/>
      <c r="E415" s="24">
        <v>1.67</v>
      </c>
      <c r="F415" s="30">
        <f t="shared" si="52"/>
        <v>0</v>
      </c>
      <c r="G415" s="23"/>
      <c r="H415" s="31">
        <v>0.115</v>
      </c>
      <c r="I415" s="30">
        <f t="shared" si="48"/>
        <v>0</v>
      </c>
      <c r="J415" s="23"/>
      <c r="K415" s="32">
        <v>0.16420000000000001</v>
      </c>
      <c r="L415" s="30">
        <f t="shared" si="53"/>
        <v>0</v>
      </c>
      <c r="M415" s="23"/>
      <c r="N415" s="33"/>
      <c r="O415" s="30">
        <f t="shared" si="55"/>
        <v>0</v>
      </c>
      <c r="P415" s="20"/>
      <c r="Q415">
        <f>+C408*1.03</f>
        <v>14021.1222</v>
      </c>
    </row>
    <row r="416" spans="1:17" x14ac:dyDescent="0.2">
      <c r="A416" s="20"/>
      <c r="B416" s="21" t="s">
        <v>81</v>
      </c>
      <c r="C416" s="21"/>
      <c r="D416" s="23"/>
      <c r="E416" s="24">
        <v>1.8</v>
      </c>
      <c r="F416" s="30">
        <f t="shared" si="52"/>
        <v>0</v>
      </c>
      <c r="G416" s="23"/>
      <c r="H416" s="31">
        <v>0.12</v>
      </c>
      <c r="I416" s="30">
        <f t="shared" si="48"/>
        <v>0</v>
      </c>
      <c r="J416" s="23"/>
      <c r="K416" s="32">
        <v>0.20269999999999999</v>
      </c>
      <c r="L416" s="30">
        <f t="shared" si="53"/>
        <v>0</v>
      </c>
      <c r="M416" s="23"/>
      <c r="N416" s="33"/>
      <c r="O416" s="30">
        <f t="shared" si="55"/>
        <v>0</v>
      </c>
      <c r="P416" s="20"/>
    </row>
    <row r="417" spans="1:16" x14ac:dyDescent="0.2">
      <c r="A417" s="20"/>
      <c r="B417" s="21" t="s">
        <v>82</v>
      </c>
      <c r="C417" s="21"/>
      <c r="D417" s="23"/>
      <c r="E417" s="24">
        <v>2.15</v>
      </c>
      <c r="F417" s="30">
        <f t="shared" si="52"/>
        <v>0</v>
      </c>
      <c r="G417" s="23"/>
      <c r="H417" s="31"/>
      <c r="I417" s="30">
        <f t="shared" si="48"/>
        <v>0</v>
      </c>
      <c r="J417" s="23"/>
      <c r="K417" s="32">
        <v>0.29189999999999999</v>
      </c>
      <c r="L417" s="30">
        <f t="shared" si="53"/>
        <v>0</v>
      </c>
      <c r="M417" s="23"/>
      <c r="N417" s="33"/>
      <c r="O417" s="30">
        <f t="shared" si="55"/>
        <v>0</v>
      </c>
      <c r="P417" s="20"/>
    </row>
    <row r="418" spans="1:16" x14ac:dyDescent="0.2">
      <c r="A418" s="20"/>
      <c r="B418" s="21" t="s">
        <v>83</v>
      </c>
      <c r="C418" s="21"/>
      <c r="D418" s="23"/>
      <c r="E418" s="24">
        <v>2.78</v>
      </c>
      <c r="F418" s="30">
        <f t="shared" si="52"/>
        <v>0</v>
      </c>
      <c r="G418" s="23"/>
      <c r="H418" s="31"/>
      <c r="I418" s="30">
        <f t="shared" si="48"/>
        <v>0</v>
      </c>
      <c r="J418" s="23"/>
      <c r="K418" s="32">
        <v>0.45600000000000002</v>
      </c>
      <c r="L418" s="30">
        <f t="shared" si="53"/>
        <v>0</v>
      </c>
      <c r="M418" s="23"/>
      <c r="N418" s="33"/>
      <c r="O418" s="30">
        <f t="shared" si="55"/>
        <v>0</v>
      </c>
      <c r="P418" s="20"/>
    </row>
    <row r="419" spans="1:16" x14ac:dyDescent="0.2">
      <c r="A419" s="20"/>
      <c r="B419" s="21" t="s">
        <v>84</v>
      </c>
      <c r="C419" s="21"/>
      <c r="D419" s="23"/>
      <c r="E419" s="24">
        <v>3.72</v>
      </c>
      <c r="F419" s="30">
        <f t="shared" si="52"/>
        <v>0</v>
      </c>
      <c r="G419" s="23"/>
      <c r="H419" s="31"/>
      <c r="I419" s="30">
        <f t="shared" si="48"/>
        <v>0</v>
      </c>
      <c r="J419" s="23"/>
      <c r="K419" s="32">
        <v>0.65669999999999995</v>
      </c>
      <c r="L419" s="30">
        <f t="shared" si="53"/>
        <v>0</v>
      </c>
      <c r="M419" s="23"/>
      <c r="N419" s="33"/>
      <c r="O419" s="30">
        <f t="shared" si="55"/>
        <v>0</v>
      </c>
      <c r="P419" s="20"/>
    </row>
    <row r="420" spans="1:16" x14ac:dyDescent="0.2">
      <c r="A420" s="20"/>
      <c r="B420" s="21" t="s">
        <v>85</v>
      </c>
      <c r="C420" s="21"/>
      <c r="D420" s="23"/>
      <c r="E420" s="24">
        <v>3.95</v>
      </c>
      <c r="F420" s="30">
        <f t="shared" si="52"/>
        <v>0</v>
      </c>
      <c r="G420" s="23"/>
      <c r="H420" s="31"/>
      <c r="I420" s="30">
        <f t="shared" si="48"/>
        <v>0</v>
      </c>
      <c r="J420" s="23"/>
      <c r="K420" s="32">
        <v>0.73170000000000002</v>
      </c>
      <c r="L420" s="30">
        <f t="shared" si="53"/>
        <v>0</v>
      </c>
      <c r="M420" s="23"/>
      <c r="N420" s="33"/>
      <c r="O420" s="30">
        <f t="shared" si="55"/>
        <v>0</v>
      </c>
      <c r="P420" s="20"/>
    </row>
    <row r="421" spans="1:16" x14ac:dyDescent="0.2">
      <c r="A421" s="20"/>
      <c r="B421" s="21" t="s">
        <v>86</v>
      </c>
      <c r="C421" s="21"/>
      <c r="D421" s="23"/>
      <c r="E421" s="24">
        <v>4.16</v>
      </c>
      <c r="F421" s="30">
        <f t="shared" si="52"/>
        <v>0</v>
      </c>
      <c r="G421" s="23"/>
      <c r="H421" s="31"/>
      <c r="I421" s="30">
        <f t="shared" si="48"/>
        <v>0</v>
      </c>
      <c r="J421" s="23"/>
      <c r="K421" s="32">
        <v>0.81069999999999998</v>
      </c>
      <c r="L421" s="30">
        <f t="shared" si="53"/>
        <v>0</v>
      </c>
      <c r="M421" s="23"/>
      <c r="N421" s="33"/>
      <c r="O421" s="30">
        <f t="shared" si="55"/>
        <v>0</v>
      </c>
      <c r="P421" s="20"/>
    </row>
    <row r="422" spans="1:16" ht="13.5" thickBot="1" x14ac:dyDescent="0.25">
      <c r="A422" s="20"/>
      <c r="B422" s="34" t="s">
        <v>87</v>
      </c>
      <c r="C422" s="34"/>
      <c r="D422" s="23"/>
      <c r="E422" s="24">
        <v>4.3600000000000003</v>
      </c>
      <c r="F422" s="30">
        <f t="shared" si="52"/>
        <v>0</v>
      </c>
      <c r="G422" s="23"/>
      <c r="H422" s="31"/>
      <c r="I422" s="30">
        <f t="shared" si="48"/>
        <v>0</v>
      </c>
      <c r="J422" s="23"/>
      <c r="K422" s="32">
        <v>0.89380000000000004</v>
      </c>
      <c r="L422" s="30">
        <f t="shared" si="53"/>
        <v>0</v>
      </c>
      <c r="M422" s="23"/>
      <c r="N422" s="33"/>
      <c r="O422" s="30">
        <f t="shared" si="55"/>
        <v>0</v>
      </c>
      <c r="P422" s="20"/>
    </row>
    <row r="423" spans="1:16" ht="16.5" thickBot="1" x14ac:dyDescent="0.3">
      <c r="A423" s="35"/>
      <c r="B423" s="36"/>
      <c r="C423" s="37">
        <f>SUM(C403:C422)</f>
        <v>13912.74</v>
      </c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0"/>
    </row>
    <row r="424" spans="1:16" ht="13.5" thickBot="1" x14ac:dyDescent="0.25">
      <c r="A424" s="20"/>
      <c r="B424" s="23"/>
      <c r="C424" s="38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0"/>
    </row>
    <row r="425" spans="1:16" ht="16.5" thickBot="1" x14ac:dyDescent="0.3">
      <c r="A425" s="20"/>
      <c r="B425" s="23"/>
      <c r="C425" s="39" t="s">
        <v>88</v>
      </c>
      <c r="D425" s="40"/>
      <c r="E425" s="41" t="s">
        <v>89</v>
      </c>
      <c r="F425" s="37">
        <f>SUM(F403:F423)</f>
        <v>11761.3194</v>
      </c>
      <c r="G425" s="42"/>
      <c r="H425" s="43" t="s">
        <v>90</v>
      </c>
      <c r="I425" s="37">
        <f>SUM(I403:I423)</f>
        <v>952.8918000000001</v>
      </c>
      <c r="J425" s="44"/>
      <c r="K425" s="41" t="s">
        <v>91</v>
      </c>
      <c r="L425" s="37">
        <f>SUM(L403:L423)</f>
        <v>253.21186800000001</v>
      </c>
      <c r="M425" s="44"/>
      <c r="N425" s="41" t="s">
        <v>92</v>
      </c>
      <c r="O425" s="37">
        <f>(SUM(O403:O423)/6)*0.25</f>
        <v>0</v>
      </c>
      <c r="P425" s="20"/>
    </row>
    <row r="426" spans="1:16" ht="13.5" thickBot="1" x14ac:dyDescent="0.25">
      <c r="A426" s="20"/>
      <c r="B426" s="23"/>
      <c r="C426" s="23"/>
      <c r="D426" s="23"/>
      <c r="E426" s="23"/>
      <c r="F426" s="45"/>
      <c r="G426" s="45"/>
      <c r="H426" s="45"/>
      <c r="I426" s="45"/>
      <c r="J426" s="23"/>
      <c r="K426" s="23"/>
      <c r="L426" s="23"/>
      <c r="M426" s="23"/>
      <c r="N426" s="23"/>
      <c r="O426" s="23"/>
      <c r="P426" s="20"/>
    </row>
    <row r="427" spans="1:16" ht="16.5" thickBot="1" x14ac:dyDescent="0.3">
      <c r="A427" s="20"/>
      <c r="B427" s="23"/>
      <c r="C427" s="46" t="s">
        <v>93</v>
      </c>
      <c r="D427" s="47"/>
      <c r="E427" s="47"/>
      <c r="F427" s="47"/>
      <c r="G427" s="47"/>
      <c r="H427" s="47"/>
      <c r="I427" s="48">
        <f>(F425-I425-L425)*0.95</f>
        <v>10027.454945400001</v>
      </c>
      <c r="J427" s="23"/>
      <c r="K427" s="23"/>
      <c r="L427" s="23"/>
      <c r="M427" s="23"/>
      <c r="N427" s="23"/>
      <c r="O427" s="23"/>
      <c r="P427" s="20"/>
    </row>
    <row r="428" spans="1:16" ht="13.5" thickBot="1" x14ac:dyDescent="0.25">
      <c r="A428" s="20"/>
      <c r="B428" s="23"/>
      <c r="C428" s="23"/>
      <c r="D428" s="23"/>
      <c r="E428" s="23"/>
      <c r="F428" s="45"/>
      <c r="G428" s="45"/>
      <c r="H428" s="45"/>
      <c r="I428" s="45"/>
      <c r="J428" s="23"/>
      <c r="K428" s="23"/>
      <c r="L428" s="23"/>
      <c r="M428" s="23"/>
      <c r="N428" s="23"/>
      <c r="O428" s="23"/>
      <c r="P428" s="20"/>
    </row>
    <row r="429" spans="1:16" ht="16.5" thickBot="1" x14ac:dyDescent="0.3">
      <c r="A429" s="20"/>
      <c r="B429" s="23"/>
      <c r="C429" s="46" t="s">
        <v>94</v>
      </c>
      <c r="D429" s="49"/>
      <c r="E429" s="49"/>
      <c r="F429" s="49"/>
      <c r="G429" s="49"/>
      <c r="H429" s="49"/>
      <c r="I429" s="48">
        <f>((F425-I427)*1.2)</f>
        <v>2080.6373455199996</v>
      </c>
      <c r="J429" s="23"/>
      <c r="K429" s="23">
        <f>+I429</f>
        <v>2080.6373455199996</v>
      </c>
      <c r="L429" s="23"/>
      <c r="M429" s="23"/>
      <c r="N429" s="23"/>
      <c r="O429" s="23"/>
      <c r="P429" s="20"/>
    </row>
    <row r="430" spans="1:16" x14ac:dyDescent="0.2">
      <c r="A430" s="20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0"/>
    </row>
    <row r="431" spans="1:16" ht="18" x14ac:dyDescent="0.25">
      <c r="A431" s="20"/>
      <c r="B431" s="23"/>
      <c r="C431" s="1567" t="s">
        <v>95</v>
      </c>
      <c r="D431" s="1567"/>
      <c r="E431" s="1567"/>
      <c r="F431" s="1567"/>
      <c r="G431" s="23"/>
      <c r="H431" s="23"/>
      <c r="I431" s="23"/>
      <c r="J431" s="23"/>
      <c r="K431" s="23"/>
      <c r="L431" s="23"/>
      <c r="M431" s="23"/>
      <c r="N431" s="23"/>
      <c r="O431" s="23"/>
      <c r="P431" s="20"/>
    </row>
    <row r="432" spans="1:16" ht="13.5" thickBot="1" x14ac:dyDescent="0.25">
      <c r="A432" s="20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0"/>
    </row>
    <row r="433" spans="1:16" ht="13.5" thickBot="1" x14ac:dyDescent="0.25">
      <c r="A433" s="20"/>
      <c r="B433" s="45"/>
      <c r="C433" s="50" t="s">
        <v>96</v>
      </c>
      <c r="D433" s="45"/>
      <c r="E433" s="50" t="s">
        <v>97</v>
      </c>
      <c r="F433" s="51" t="s">
        <v>98</v>
      </c>
      <c r="G433" s="23"/>
      <c r="H433" s="23"/>
      <c r="I433" s="23"/>
      <c r="J433" s="23"/>
      <c r="K433" s="23"/>
      <c r="L433" s="23"/>
      <c r="M433" s="23"/>
      <c r="N433" s="23"/>
      <c r="O433" s="23"/>
      <c r="P433" s="20"/>
    </row>
    <row r="434" spans="1:16" x14ac:dyDescent="0.2">
      <c r="A434" s="20"/>
      <c r="B434" s="21" t="s">
        <v>71</v>
      </c>
      <c r="C434" s="25"/>
      <c r="D434" s="45"/>
      <c r="E434" s="52">
        <v>0.02</v>
      </c>
      <c r="F434" s="53">
        <f>(E434*C434)+C434</f>
        <v>0</v>
      </c>
      <c r="G434" s="23"/>
      <c r="H434" s="23"/>
      <c r="I434" s="23">
        <f>+F425*0.35</f>
        <v>4116.4617900000003</v>
      </c>
      <c r="J434" s="23"/>
      <c r="K434" s="23"/>
      <c r="L434" s="62" t="s">
        <v>100</v>
      </c>
      <c r="M434" s="63"/>
      <c r="N434" s="23"/>
      <c r="O434" s="23"/>
      <c r="P434" s="20"/>
    </row>
    <row r="435" spans="1:16" x14ac:dyDescent="0.2">
      <c r="A435" s="20"/>
      <c r="B435" s="21" t="s">
        <v>72</v>
      </c>
      <c r="C435" s="25"/>
      <c r="D435" s="45"/>
      <c r="E435" s="54">
        <v>0.02</v>
      </c>
      <c r="F435" s="55">
        <f>(E435*C435)+C435</f>
        <v>0</v>
      </c>
      <c r="G435" s="23"/>
      <c r="H435" s="23"/>
      <c r="I435" s="23">
        <f>+F425*0.35</f>
        <v>4116.4617900000003</v>
      </c>
      <c r="J435" s="23"/>
      <c r="K435" s="23">
        <f>+F425*0.3</f>
        <v>3528.3958200000002</v>
      </c>
      <c r="L435" s="64">
        <f>+K435*1.2</f>
        <v>4234.0749839999999</v>
      </c>
      <c r="M435" s="65"/>
      <c r="N435" s="23"/>
      <c r="O435" s="23"/>
      <c r="P435" s="20"/>
    </row>
    <row r="436" spans="1:16" x14ac:dyDescent="0.2">
      <c r="A436" s="20"/>
      <c r="B436" s="21" t="s">
        <v>73</v>
      </c>
      <c r="C436" s="25">
        <f>C407</f>
        <v>0</v>
      </c>
      <c r="D436" s="45"/>
      <c r="E436" s="54">
        <v>0.02</v>
      </c>
      <c r="F436" s="55">
        <f>(E436*C436)+C436</f>
        <v>0</v>
      </c>
      <c r="G436" s="23"/>
      <c r="H436" s="23"/>
      <c r="I436" s="23">
        <f>+F425*0.3</f>
        <v>3528.3958200000002</v>
      </c>
      <c r="J436" s="23"/>
      <c r="K436" s="23"/>
      <c r="L436" s="62" t="s">
        <v>101</v>
      </c>
      <c r="M436" s="63"/>
      <c r="N436" s="23"/>
      <c r="O436" s="23"/>
      <c r="P436" s="20"/>
    </row>
    <row r="437" spans="1:16" x14ac:dyDescent="0.2">
      <c r="A437" s="20"/>
      <c r="B437" s="21" t="s">
        <v>74</v>
      </c>
      <c r="C437" s="25">
        <f>C408</f>
        <v>13612.74</v>
      </c>
      <c r="D437" s="45"/>
      <c r="E437" s="54">
        <v>0.03</v>
      </c>
      <c r="F437" s="55">
        <f>(E437*C437)+C437</f>
        <v>14021.1222</v>
      </c>
      <c r="G437" s="23"/>
      <c r="H437" s="23"/>
      <c r="I437" s="23"/>
      <c r="J437" s="23"/>
      <c r="K437" s="23"/>
      <c r="L437" s="64">
        <f>+I429+L435</f>
        <v>6314.7123295199999</v>
      </c>
      <c r="M437" s="65"/>
      <c r="N437" s="23"/>
      <c r="O437" s="23"/>
      <c r="P437" s="20"/>
    </row>
    <row r="438" spans="1:16" x14ac:dyDescent="0.2">
      <c r="A438" s="20"/>
      <c r="B438" s="21" t="s">
        <v>75</v>
      </c>
      <c r="C438" s="25">
        <f>C410</f>
        <v>0</v>
      </c>
      <c r="D438" s="45"/>
      <c r="E438" s="54">
        <v>0.03</v>
      </c>
      <c r="F438" s="55">
        <f>C438*E438+C438</f>
        <v>0</v>
      </c>
      <c r="G438" s="23"/>
      <c r="H438" s="23"/>
      <c r="I438" s="23"/>
      <c r="J438" s="23"/>
      <c r="K438" s="23"/>
      <c r="L438" s="23"/>
      <c r="M438" s="23"/>
      <c r="N438" s="23"/>
      <c r="O438" s="23"/>
      <c r="P438" s="20"/>
    </row>
    <row r="439" spans="1:16" x14ac:dyDescent="0.2">
      <c r="A439" s="20"/>
      <c r="B439" s="21" t="s">
        <v>76</v>
      </c>
      <c r="C439" s="25">
        <f t="shared" ref="C439:C450" si="56">C411</f>
        <v>0</v>
      </c>
      <c r="D439" s="45"/>
      <c r="E439" s="54">
        <v>0.04</v>
      </c>
      <c r="F439" s="55">
        <f t="shared" ref="F439:F450" si="57">(E439*C439)+C439</f>
        <v>0</v>
      </c>
      <c r="G439" s="23"/>
      <c r="H439" s="23"/>
      <c r="I439" s="23"/>
      <c r="J439" s="23"/>
      <c r="K439" s="23"/>
      <c r="L439" s="23"/>
      <c r="M439" s="23"/>
      <c r="N439" s="23"/>
      <c r="O439" s="23"/>
      <c r="P439" s="20"/>
    </row>
    <row r="440" spans="1:16" x14ac:dyDescent="0.2">
      <c r="A440" s="20"/>
      <c r="B440" s="21" t="s">
        <v>77</v>
      </c>
      <c r="C440" s="25">
        <f t="shared" si="56"/>
        <v>0</v>
      </c>
      <c r="D440" s="45"/>
      <c r="E440" s="54">
        <v>0.04</v>
      </c>
      <c r="F440" s="55">
        <f t="shared" si="57"/>
        <v>0</v>
      </c>
      <c r="G440" s="23"/>
      <c r="H440" s="23"/>
      <c r="I440" s="23"/>
      <c r="J440" s="23"/>
      <c r="K440" s="23"/>
      <c r="L440" s="23"/>
      <c r="M440" s="23"/>
      <c r="N440" s="23"/>
      <c r="O440" s="23"/>
      <c r="P440" s="20"/>
    </row>
    <row r="441" spans="1:16" x14ac:dyDescent="0.2">
      <c r="A441" s="20"/>
      <c r="B441" s="21" t="s">
        <v>78</v>
      </c>
      <c r="C441" s="25">
        <f t="shared" si="56"/>
        <v>0</v>
      </c>
      <c r="D441" s="45"/>
      <c r="E441" s="54">
        <v>0.04</v>
      </c>
      <c r="F441" s="55">
        <f t="shared" si="57"/>
        <v>0</v>
      </c>
      <c r="G441" s="23"/>
      <c r="H441" s="23"/>
      <c r="I441" s="23"/>
      <c r="J441" s="23"/>
      <c r="K441" s="23"/>
      <c r="L441" s="23"/>
      <c r="M441" s="23"/>
      <c r="N441" s="23"/>
      <c r="O441" s="23"/>
      <c r="P441" s="20"/>
    </row>
    <row r="442" spans="1:16" x14ac:dyDescent="0.2">
      <c r="A442" s="20"/>
      <c r="B442" s="21" t="s">
        <v>79</v>
      </c>
      <c r="C442" s="25">
        <f t="shared" si="56"/>
        <v>0</v>
      </c>
      <c r="D442" s="45"/>
      <c r="E442" s="54">
        <v>0.05</v>
      </c>
      <c r="F442" s="55">
        <f t="shared" si="57"/>
        <v>0</v>
      </c>
      <c r="G442" s="23"/>
      <c r="H442" s="23"/>
      <c r="I442" s="23"/>
      <c r="J442" s="23"/>
      <c r="K442" s="23"/>
      <c r="L442" s="23"/>
      <c r="M442" s="23"/>
      <c r="N442" s="23"/>
      <c r="O442" s="23"/>
      <c r="P442" s="20"/>
    </row>
    <row r="443" spans="1:16" x14ac:dyDescent="0.2">
      <c r="A443" s="20"/>
      <c r="B443" s="21" t="s">
        <v>80</v>
      </c>
      <c r="C443" s="25">
        <f t="shared" si="56"/>
        <v>0</v>
      </c>
      <c r="D443" s="45"/>
      <c r="E443" s="54">
        <v>0.05</v>
      </c>
      <c r="F443" s="55">
        <f t="shared" si="57"/>
        <v>0</v>
      </c>
      <c r="G443" s="23"/>
      <c r="H443" s="23"/>
      <c r="I443" s="23"/>
      <c r="J443" s="23"/>
      <c r="K443" s="23"/>
      <c r="L443" s="23"/>
      <c r="M443" s="23"/>
      <c r="N443" s="23"/>
      <c r="O443" s="23"/>
      <c r="P443" s="20"/>
    </row>
    <row r="444" spans="1:16" x14ac:dyDescent="0.2">
      <c r="A444" s="20"/>
      <c r="B444" s="21" t="s">
        <v>81</v>
      </c>
      <c r="C444" s="25">
        <f t="shared" si="56"/>
        <v>0</v>
      </c>
      <c r="D444" s="45"/>
      <c r="E444" s="54">
        <v>0.06</v>
      </c>
      <c r="F444" s="55">
        <f t="shared" si="57"/>
        <v>0</v>
      </c>
      <c r="G444" s="23"/>
      <c r="H444" s="23"/>
      <c r="I444" s="23"/>
      <c r="J444" s="23"/>
      <c r="K444" s="23"/>
      <c r="L444" s="23"/>
      <c r="M444" s="23"/>
      <c r="N444" s="23"/>
      <c r="O444" s="23"/>
      <c r="P444" s="20"/>
    </row>
    <row r="445" spans="1:16" x14ac:dyDescent="0.2">
      <c r="A445" s="20"/>
      <c r="B445" s="21" t="s">
        <v>82</v>
      </c>
      <c r="C445" s="25">
        <f t="shared" si="56"/>
        <v>0</v>
      </c>
      <c r="D445" s="45"/>
      <c r="E445" s="54">
        <v>7.0000000000000007E-2</v>
      </c>
      <c r="F445" s="55">
        <f t="shared" si="57"/>
        <v>0</v>
      </c>
      <c r="G445" s="23"/>
      <c r="H445" s="23"/>
      <c r="I445" s="23"/>
      <c r="J445" s="23"/>
      <c r="K445" s="23"/>
      <c r="L445" s="23"/>
      <c r="M445" s="23"/>
      <c r="N445" s="23"/>
      <c r="O445" s="23"/>
      <c r="P445" s="20"/>
    </row>
    <row r="446" spans="1:16" x14ac:dyDescent="0.2">
      <c r="A446" s="20"/>
      <c r="B446" s="21" t="s">
        <v>83</v>
      </c>
      <c r="C446" s="25">
        <f t="shared" si="56"/>
        <v>0</v>
      </c>
      <c r="D446" s="45"/>
      <c r="E446" s="54"/>
      <c r="F446" s="55">
        <f t="shared" si="57"/>
        <v>0</v>
      </c>
      <c r="G446" s="23"/>
      <c r="H446" s="23"/>
      <c r="I446" s="23"/>
      <c r="J446" s="23"/>
      <c r="K446" s="23"/>
      <c r="L446" s="23"/>
      <c r="M446" s="23"/>
      <c r="N446" s="23"/>
      <c r="O446" s="23"/>
      <c r="P446" s="20"/>
    </row>
    <row r="447" spans="1:16" x14ac:dyDescent="0.2">
      <c r="A447" s="20"/>
      <c r="B447" s="21" t="s">
        <v>84</v>
      </c>
      <c r="C447" s="25">
        <f t="shared" si="56"/>
        <v>0</v>
      </c>
      <c r="D447" s="45"/>
      <c r="E447" s="54"/>
      <c r="F447" s="55">
        <f t="shared" si="57"/>
        <v>0</v>
      </c>
      <c r="G447" s="23"/>
      <c r="H447" s="23"/>
      <c r="I447" s="23"/>
      <c r="J447" s="23"/>
      <c r="K447" s="23"/>
      <c r="L447" s="23"/>
      <c r="M447" s="23"/>
      <c r="N447" s="23"/>
      <c r="O447" s="23"/>
      <c r="P447" s="20"/>
    </row>
    <row r="448" spans="1:16" x14ac:dyDescent="0.2">
      <c r="A448" s="20"/>
      <c r="B448" s="21" t="s">
        <v>85</v>
      </c>
      <c r="C448" s="25">
        <f t="shared" si="56"/>
        <v>0</v>
      </c>
      <c r="D448" s="45"/>
      <c r="E448" s="54"/>
      <c r="F448" s="55">
        <f t="shared" si="57"/>
        <v>0</v>
      </c>
      <c r="G448" s="23"/>
      <c r="H448" s="23"/>
      <c r="I448" s="23"/>
      <c r="J448" s="23"/>
      <c r="K448" s="23"/>
      <c r="L448" s="23"/>
      <c r="M448" s="23"/>
      <c r="N448" s="23"/>
      <c r="O448" s="23"/>
      <c r="P448" s="20"/>
    </row>
    <row r="449" spans="1:17" x14ac:dyDescent="0.2">
      <c r="A449" s="20"/>
      <c r="B449" s="21" t="s">
        <v>86</v>
      </c>
      <c r="C449" s="25">
        <f t="shared" si="56"/>
        <v>0</v>
      </c>
      <c r="D449" s="45"/>
      <c r="E449" s="54"/>
      <c r="F449" s="55">
        <f t="shared" si="57"/>
        <v>0</v>
      </c>
      <c r="G449" s="23"/>
      <c r="H449" s="23"/>
      <c r="I449" s="23"/>
      <c r="J449" s="23"/>
      <c r="K449" s="23"/>
      <c r="L449" s="23"/>
      <c r="M449" s="23"/>
      <c r="N449" s="23"/>
      <c r="O449" s="23"/>
      <c r="P449" s="20"/>
    </row>
    <row r="450" spans="1:17" x14ac:dyDescent="0.2">
      <c r="A450" s="20"/>
      <c r="B450" s="21" t="s">
        <v>87</v>
      </c>
      <c r="C450" s="25">
        <f t="shared" si="56"/>
        <v>0</v>
      </c>
      <c r="D450" s="45"/>
      <c r="E450" s="54"/>
      <c r="F450" s="55">
        <f t="shared" si="57"/>
        <v>0</v>
      </c>
      <c r="G450" s="23"/>
      <c r="H450" s="23"/>
      <c r="I450" s="23"/>
      <c r="J450" s="23"/>
      <c r="K450" s="23"/>
      <c r="L450" s="23"/>
      <c r="M450" s="23"/>
      <c r="N450" s="23"/>
      <c r="O450" s="23"/>
      <c r="P450" s="20"/>
    </row>
    <row r="451" spans="1:17" x14ac:dyDescent="0.2">
      <c r="A451" s="20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0"/>
    </row>
    <row r="454" spans="1:17" x14ac:dyDescent="0.2">
      <c r="C454" s="61" t="s">
        <v>609</v>
      </c>
      <c r="D454" s="61"/>
      <c r="E454" s="61"/>
    </row>
    <row r="455" spans="1:17" ht="13.5" thickBot="1" x14ac:dyDescent="0.25"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</row>
    <row r="456" spans="1:17" ht="13.5" thickBot="1" x14ac:dyDescent="0.25">
      <c r="B456" s="14"/>
      <c r="C456" s="14"/>
      <c r="D456" s="14"/>
      <c r="E456" s="1565" t="s">
        <v>63</v>
      </c>
      <c r="F456" s="1566"/>
      <c r="G456" s="16"/>
      <c r="H456" s="1565" t="s">
        <v>64</v>
      </c>
      <c r="I456" s="1566"/>
      <c r="J456" s="16"/>
      <c r="K456" s="1565" t="s">
        <v>65</v>
      </c>
      <c r="L456" s="1566"/>
      <c r="M456" s="16"/>
      <c r="N456" s="1565" t="s">
        <v>66</v>
      </c>
      <c r="O456" s="1566"/>
    </row>
    <row r="457" spans="1:17" ht="13.5" thickBot="1" x14ac:dyDescent="0.25">
      <c r="B457" s="14"/>
      <c r="C457" s="17" t="s">
        <v>67</v>
      </c>
      <c r="D457" s="14"/>
      <c r="E457" s="18" t="s">
        <v>68</v>
      </c>
      <c r="F457" s="19" t="s">
        <v>69</v>
      </c>
      <c r="G457" s="16"/>
      <c r="H457" s="18" t="s">
        <v>68</v>
      </c>
      <c r="I457" s="19" t="s">
        <v>69</v>
      </c>
      <c r="J457" s="16"/>
      <c r="K457" s="18" t="s">
        <v>68</v>
      </c>
      <c r="L457" s="19" t="s">
        <v>69</v>
      </c>
      <c r="M457" s="16"/>
      <c r="N457" s="18" t="s">
        <v>68</v>
      </c>
      <c r="O457" s="19" t="s">
        <v>70</v>
      </c>
    </row>
    <row r="458" spans="1:17" x14ac:dyDescent="0.2">
      <c r="B458" s="21" t="s">
        <v>71</v>
      </c>
      <c r="C458" s="22"/>
      <c r="D458" s="23"/>
      <c r="E458" s="24">
        <v>0.63</v>
      </c>
      <c r="F458" s="25">
        <f>+E458*C458</f>
        <v>0</v>
      </c>
      <c r="G458" s="23"/>
      <c r="H458" s="26">
        <v>0.06</v>
      </c>
      <c r="I458" s="25">
        <f t="shared" ref="I458:I477" si="58">+H458*C458</f>
        <v>0</v>
      </c>
      <c r="J458" s="23"/>
      <c r="K458" s="27">
        <v>2E-3</v>
      </c>
      <c r="L458" s="25">
        <f>+K458*C458</f>
        <v>0</v>
      </c>
      <c r="M458" s="23"/>
      <c r="N458" s="28">
        <v>1.388E-2</v>
      </c>
      <c r="O458" s="25">
        <f>+N458*C458</f>
        <v>0</v>
      </c>
    </row>
    <row r="459" spans="1:17" x14ac:dyDescent="0.2">
      <c r="B459" s="21" t="s">
        <v>71</v>
      </c>
      <c r="C459" s="22"/>
      <c r="D459" s="23"/>
      <c r="E459" s="24">
        <v>0.63</v>
      </c>
      <c r="F459" s="25">
        <f t="shared" ref="F459" si="59">+E459*C459</f>
        <v>0</v>
      </c>
      <c r="G459" s="23"/>
      <c r="H459" s="26">
        <v>0.06</v>
      </c>
      <c r="I459" s="25">
        <f t="shared" si="58"/>
        <v>0</v>
      </c>
      <c r="J459" s="23"/>
      <c r="K459" s="27">
        <v>2E-3</v>
      </c>
      <c r="L459" s="25">
        <f t="shared" ref="L459" si="60">+K459*C459</f>
        <v>0</v>
      </c>
      <c r="M459" s="23"/>
      <c r="N459" s="28">
        <v>1.388E-2</v>
      </c>
      <c r="O459" s="25">
        <f t="shared" ref="O459" si="61">+N459*C459</f>
        <v>0</v>
      </c>
    </row>
    <row r="460" spans="1:17" x14ac:dyDescent="0.2">
      <c r="B460" s="21" t="s">
        <v>72</v>
      </c>
      <c r="C460" s="29"/>
      <c r="D460" s="23"/>
      <c r="E460" s="24">
        <v>0.65</v>
      </c>
      <c r="F460" s="30">
        <f>+E460*C460</f>
        <v>0</v>
      </c>
      <c r="G460" s="23"/>
      <c r="H460" s="31">
        <v>0.06</v>
      </c>
      <c r="I460" s="30">
        <f t="shared" si="58"/>
        <v>0</v>
      </c>
      <c r="J460" s="23"/>
      <c r="K460" s="32">
        <v>4.5999999999999999E-3</v>
      </c>
      <c r="L460" s="30">
        <f>+K460*C460</f>
        <v>0</v>
      </c>
      <c r="M460" s="23"/>
      <c r="N460" s="33">
        <v>1.7860000000000001E-2</v>
      </c>
      <c r="O460" s="30">
        <f>+N460*C460</f>
        <v>0</v>
      </c>
    </row>
    <row r="461" spans="1:17" x14ac:dyDescent="0.2">
      <c r="B461" s="21" t="s">
        <v>72</v>
      </c>
      <c r="C461" s="29"/>
      <c r="D461" s="23"/>
      <c r="E461" s="24">
        <v>0.65</v>
      </c>
      <c r="F461" s="30">
        <f t="shared" ref="F461:F477" si="62">+E461*C461</f>
        <v>0</v>
      </c>
      <c r="G461" s="23"/>
      <c r="H461" s="31">
        <v>0.06</v>
      </c>
      <c r="I461" s="30">
        <f t="shared" si="58"/>
        <v>0</v>
      </c>
      <c r="J461" s="23"/>
      <c r="K461" s="32">
        <v>4.5999999999999999E-3</v>
      </c>
      <c r="L461" s="30">
        <f t="shared" ref="L461:L477" si="63">+K461*C461</f>
        <v>0</v>
      </c>
      <c r="M461" s="23"/>
      <c r="N461" s="33">
        <v>1.7860000000000001E-2</v>
      </c>
      <c r="O461" s="30">
        <f t="shared" ref="O461:O462" si="64">+N461*C461</f>
        <v>0</v>
      </c>
    </row>
    <row r="462" spans="1:17" x14ac:dyDescent="0.2">
      <c r="B462" s="21" t="s">
        <v>73</v>
      </c>
      <c r="C462" s="29"/>
      <c r="D462" s="23"/>
      <c r="E462" s="24">
        <v>0.66</v>
      </c>
      <c r="F462" s="30">
        <f t="shared" si="62"/>
        <v>0</v>
      </c>
      <c r="G462" s="23"/>
      <c r="H462" s="31">
        <v>0.06</v>
      </c>
      <c r="I462" s="30">
        <f t="shared" si="58"/>
        <v>0</v>
      </c>
      <c r="J462" s="23"/>
      <c r="K462" s="32">
        <v>8.0999999999999996E-3</v>
      </c>
      <c r="L462" s="30">
        <f t="shared" si="63"/>
        <v>0</v>
      </c>
      <c r="M462" s="23"/>
      <c r="N462" s="33">
        <v>2.5000000000000001E-2</v>
      </c>
      <c r="O462" s="30">
        <f t="shared" si="64"/>
        <v>0</v>
      </c>
      <c r="Q462" s="58">
        <v>8938.1299999999992</v>
      </c>
    </row>
    <row r="463" spans="1:17" x14ac:dyDescent="0.2">
      <c r="B463" s="21" t="s">
        <v>74</v>
      </c>
      <c r="C463" s="21">
        <v>4648.62</v>
      </c>
      <c r="D463" s="23"/>
      <c r="E463" s="24">
        <v>0.81</v>
      </c>
      <c r="F463" s="30">
        <f t="shared" si="62"/>
        <v>3765.3822</v>
      </c>
      <c r="G463" s="23"/>
      <c r="H463" s="31">
        <v>7.0000000000000007E-2</v>
      </c>
      <c r="I463" s="30"/>
      <c r="J463" s="23"/>
      <c r="K463" s="32">
        <v>1.8200000000000001E-2</v>
      </c>
      <c r="L463" s="30">
        <f t="shared" si="63"/>
        <v>84.604883999999998</v>
      </c>
      <c r="M463" s="23"/>
      <c r="N463" s="33">
        <v>7.8100000000000003E-2</v>
      </c>
      <c r="O463" s="30"/>
      <c r="Q463" s="20">
        <f>+Q462-4289.51</f>
        <v>4648.619999999999</v>
      </c>
    </row>
    <row r="464" spans="1:17" s="722" customFormat="1" x14ac:dyDescent="0.2">
      <c r="B464" s="21" t="s">
        <v>74</v>
      </c>
      <c r="C464" s="21">
        <v>4289.51</v>
      </c>
      <c r="D464" s="23"/>
      <c r="E464" s="24">
        <f>1.15*1</f>
        <v>1.1499999999999999</v>
      </c>
      <c r="F464" s="30">
        <f t="shared" ref="F464" si="65">+E464*C464</f>
        <v>4932.9364999999998</v>
      </c>
      <c r="G464" s="23"/>
      <c r="H464" s="31">
        <v>7.0000000000000007E-2</v>
      </c>
      <c r="I464" s="30"/>
      <c r="J464" s="23"/>
      <c r="K464" s="32">
        <v>1.8200000000000001E-2</v>
      </c>
      <c r="L464" s="30">
        <f t="shared" ref="L464" si="66">+K464*C464</f>
        <v>78.069082000000009</v>
      </c>
      <c r="M464" s="23"/>
      <c r="N464" s="33">
        <v>7.8100000000000003E-2</v>
      </c>
      <c r="O464" s="30"/>
      <c r="Q464" s="20"/>
    </row>
    <row r="465" spans="2:15" x14ac:dyDescent="0.2">
      <c r="B465" s="21" t="s">
        <v>75</v>
      </c>
      <c r="C465" s="21"/>
      <c r="D465" s="23"/>
      <c r="E465" s="24">
        <v>0.9</v>
      </c>
      <c r="F465" s="30">
        <f t="shared" si="62"/>
        <v>0</v>
      </c>
      <c r="G465" s="23"/>
      <c r="H465" s="31">
        <v>7.4999999999999997E-2</v>
      </c>
      <c r="I465" s="30">
        <f t="shared" si="58"/>
        <v>0</v>
      </c>
      <c r="J465" s="23"/>
      <c r="K465" s="32">
        <v>3.2399999999999998E-2</v>
      </c>
      <c r="L465" s="30">
        <f t="shared" si="63"/>
        <v>0</v>
      </c>
      <c r="M465" s="23"/>
      <c r="N465" s="33">
        <v>0.156</v>
      </c>
      <c r="O465" s="30">
        <f t="shared" ref="O465:O477" si="67">+N465*C465</f>
        <v>0</v>
      </c>
    </row>
    <row r="466" spans="2:15" x14ac:dyDescent="0.2">
      <c r="B466" s="21" t="s">
        <v>76</v>
      </c>
      <c r="C466" s="21"/>
      <c r="D466" s="23"/>
      <c r="E466" s="24">
        <v>1</v>
      </c>
      <c r="F466" s="30">
        <f t="shared" si="62"/>
        <v>0</v>
      </c>
      <c r="G466" s="23"/>
      <c r="H466" s="31">
        <v>0.08</v>
      </c>
      <c r="I466" s="30">
        <f t="shared" si="58"/>
        <v>0</v>
      </c>
      <c r="J466" s="23"/>
      <c r="K466" s="32">
        <v>5.0700000000000002E-2</v>
      </c>
      <c r="L466" s="30">
        <f t="shared" si="63"/>
        <v>0</v>
      </c>
      <c r="M466" s="23"/>
      <c r="N466" s="33">
        <v>0.23430000000000001</v>
      </c>
      <c r="O466" s="30">
        <f t="shared" si="67"/>
        <v>0</v>
      </c>
    </row>
    <row r="467" spans="2:15" x14ac:dyDescent="0.2">
      <c r="B467" s="21" t="s">
        <v>77</v>
      </c>
      <c r="C467" s="21"/>
      <c r="D467" s="23"/>
      <c r="E467" s="24">
        <v>1.1100000000000001</v>
      </c>
      <c r="F467" s="30">
        <f t="shared" si="62"/>
        <v>0</v>
      </c>
      <c r="G467" s="23"/>
      <c r="H467" s="31">
        <v>8.5000000000000006E-2</v>
      </c>
      <c r="I467" s="30">
        <f t="shared" si="58"/>
        <v>0</v>
      </c>
      <c r="J467" s="23"/>
      <c r="K467" s="32">
        <v>7.2999999999999995E-2</v>
      </c>
      <c r="L467" s="30">
        <f t="shared" si="63"/>
        <v>0</v>
      </c>
      <c r="M467" s="23"/>
      <c r="N467" s="33">
        <v>0.3125</v>
      </c>
      <c r="O467" s="30">
        <f t="shared" si="67"/>
        <v>0</v>
      </c>
    </row>
    <row r="468" spans="2:15" x14ac:dyDescent="0.2">
      <c r="B468" s="21" t="s">
        <v>78</v>
      </c>
      <c r="C468" s="21"/>
      <c r="D468" s="23"/>
      <c r="E468" s="24">
        <v>1.22</v>
      </c>
      <c r="F468" s="30">
        <f t="shared" si="62"/>
        <v>0</v>
      </c>
      <c r="G468" s="23"/>
      <c r="H468" s="31">
        <v>0.09</v>
      </c>
      <c r="I468" s="30">
        <f t="shared" si="58"/>
        <v>0</v>
      </c>
      <c r="J468" s="23"/>
      <c r="K468" s="32">
        <v>9.9299999999999999E-2</v>
      </c>
      <c r="L468" s="30">
        <f t="shared" si="63"/>
        <v>0</v>
      </c>
      <c r="M468" s="23"/>
      <c r="N468" s="33"/>
      <c r="O468" s="30">
        <f t="shared" si="67"/>
        <v>0</v>
      </c>
    </row>
    <row r="469" spans="2:15" x14ac:dyDescent="0.2">
      <c r="B469" s="21" t="s">
        <v>79</v>
      </c>
      <c r="C469" s="21"/>
      <c r="D469" s="23"/>
      <c r="E469" s="24">
        <v>1.4</v>
      </c>
      <c r="F469" s="30">
        <f t="shared" si="62"/>
        <v>0</v>
      </c>
      <c r="G469" s="23"/>
      <c r="H469" s="31">
        <v>0.1</v>
      </c>
      <c r="I469" s="30">
        <f t="shared" si="58"/>
        <v>0</v>
      </c>
      <c r="J469" s="23"/>
      <c r="K469" s="32">
        <v>0.12970000000000001</v>
      </c>
      <c r="L469" s="30">
        <f t="shared" si="63"/>
        <v>0</v>
      </c>
      <c r="M469" s="23"/>
      <c r="N469" s="33">
        <v>0.41660000000000003</v>
      </c>
      <c r="O469" s="30">
        <f t="shared" si="67"/>
        <v>0</v>
      </c>
    </row>
    <row r="470" spans="2:15" x14ac:dyDescent="0.2">
      <c r="B470" s="21" t="s">
        <v>80</v>
      </c>
      <c r="C470" s="21"/>
      <c r="D470" s="23"/>
      <c r="E470" s="24">
        <v>1.67</v>
      </c>
      <c r="F470" s="30">
        <f t="shared" si="62"/>
        <v>0</v>
      </c>
      <c r="G470" s="23"/>
      <c r="H470" s="31">
        <v>0.115</v>
      </c>
      <c r="I470" s="30">
        <f t="shared" si="58"/>
        <v>0</v>
      </c>
      <c r="J470" s="23"/>
      <c r="K470" s="32">
        <v>0.16420000000000001</v>
      </c>
      <c r="L470" s="30">
        <f t="shared" si="63"/>
        <v>0</v>
      </c>
      <c r="M470" s="23"/>
      <c r="N470" s="33"/>
      <c r="O470" s="30">
        <f t="shared" si="67"/>
        <v>0</v>
      </c>
    </row>
    <row r="471" spans="2:15" x14ac:dyDescent="0.2">
      <c r="B471" s="21" t="s">
        <v>81</v>
      </c>
      <c r="C471" s="21"/>
      <c r="D471" s="23"/>
      <c r="E471" s="24">
        <v>1.8</v>
      </c>
      <c r="F471" s="30">
        <f t="shared" si="62"/>
        <v>0</v>
      </c>
      <c r="G471" s="23"/>
      <c r="H471" s="31">
        <v>0.12</v>
      </c>
      <c r="I471" s="30">
        <f t="shared" si="58"/>
        <v>0</v>
      </c>
      <c r="J471" s="23"/>
      <c r="K471" s="32">
        <v>0.20269999999999999</v>
      </c>
      <c r="L471" s="30">
        <f t="shared" si="63"/>
        <v>0</v>
      </c>
      <c r="M471" s="23"/>
      <c r="N471" s="33"/>
      <c r="O471" s="30">
        <f t="shared" si="67"/>
        <v>0</v>
      </c>
    </row>
    <row r="472" spans="2:15" x14ac:dyDescent="0.2">
      <c r="B472" s="21" t="s">
        <v>82</v>
      </c>
      <c r="C472" s="21"/>
      <c r="D472" s="23"/>
      <c r="E472" s="24">
        <v>2.15</v>
      </c>
      <c r="F472" s="30">
        <f t="shared" si="62"/>
        <v>0</v>
      </c>
      <c r="G472" s="23"/>
      <c r="H472" s="31"/>
      <c r="I472" s="30">
        <f t="shared" si="58"/>
        <v>0</v>
      </c>
      <c r="J472" s="23"/>
      <c r="K472" s="32">
        <v>0.29189999999999999</v>
      </c>
      <c r="L472" s="30">
        <f t="shared" si="63"/>
        <v>0</v>
      </c>
      <c r="M472" s="23"/>
      <c r="N472" s="33"/>
      <c r="O472" s="30">
        <f t="shared" si="67"/>
        <v>0</v>
      </c>
    </row>
    <row r="473" spans="2:15" x14ac:dyDescent="0.2">
      <c r="B473" s="21" t="s">
        <v>83</v>
      </c>
      <c r="C473" s="21"/>
      <c r="D473" s="23"/>
      <c r="E473" s="24">
        <v>2.78</v>
      </c>
      <c r="F473" s="30">
        <f t="shared" si="62"/>
        <v>0</v>
      </c>
      <c r="G473" s="23"/>
      <c r="H473" s="31"/>
      <c r="I473" s="30">
        <f t="shared" si="58"/>
        <v>0</v>
      </c>
      <c r="J473" s="23"/>
      <c r="K473" s="32">
        <v>0.45600000000000002</v>
      </c>
      <c r="L473" s="30">
        <f t="shared" si="63"/>
        <v>0</v>
      </c>
      <c r="M473" s="23"/>
      <c r="N473" s="33"/>
      <c r="O473" s="30">
        <f t="shared" si="67"/>
        <v>0</v>
      </c>
    </row>
    <row r="474" spans="2:15" x14ac:dyDescent="0.2">
      <c r="B474" s="21" t="s">
        <v>84</v>
      </c>
      <c r="C474" s="21"/>
      <c r="D474" s="23"/>
      <c r="E474" s="24">
        <v>3.72</v>
      </c>
      <c r="F474" s="30">
        <f t="shared" si="62"/>
        <v>0</v>
      </c>
      <c r="G474" s="23"/>
      <c r="H474" s="31"/>
      <c r="I474" s="30">
        <f t="shared" si="58"/>
        <v>0</v>
      </c>
      <c r="J474" s="23"/>
      <c r="K474" s="32">
        <v>0.65669999999999995</v>
      </c>
      <c r="L474" s="30">
        <f t="shared" si="63"/>
        <v>0</v>
      </c>
      <c r="M474" s="23"/>
      <c r="N474" s="33"/>
      <c r="O474" s="30">
        <f t="shared" si="67"/>
        <v>0</v>
      </c>
    </row>
    <row r="475" spans="2:15" x14ac:dyDescent="0.2">
      <c r="B475" s="21" t="s">
        <v>85</v>
      </c>
      <c r="C475" s="21"/>
      <c r="D475" s="23"/>
      <c r="E475" s="24">
        <v>3.95</v>
      </c>
      <c r="F475" s="30">
        <f t="shared" si="62"/>
        <v>0</v>
      </c>
      <c r="G475" s="23"/>
      <c r="H475" s="31"/>
      <c r="I475" s="30">
        <f t="shared" si="58"/>
        <v>0</v>
      </c>
      <c r="J475" s="23"/>
      <c r="K475" s="32">
        <v>0.73170000000000002</v>
      </c>
      <c r="L475" s="30">
        <f t="shared" si="63"/>
        <v>0</v>
      </c>
      <c r="M475" s="23"/>
      <c r="N475" s="33"/>
      <c r="O475" s="30">
        <f t="shared" si="67"/>
        <v>0</v>
      </c>
    </row>
    <row r="476" spans="2:15" x14ac:dyDescent="0.2">
      <c r="B476" s="21" t="s">
        <v>86</v>
      </c>
      <c r="C476" s="21"/>
      <c r="D476" s="23"/>
      <c r="E476" s="24">
        <v>4.16</v>
      </c>
      <c r="F476" s="30">
        <f t="shared" si="62"/>
        <v>0</v>
      </c>
      <c r="G476" s="23"/>
      <c r="H476" s="31"/>
      <c r="I476" s="30">
        <f t="shared" si="58"/>
        <v>0</v>
      </c>
      <c r="J476" s="23"/>
      <c r="K476" s="32">
        <v>0.81069999999999998</v>
      </c>
      <c r="L476" s="30">
        <f t="shared" si="63"/>
        <v>0</v>
      </c>
      <c r="M476" s="23"/>
      <c r="N476" s="33"/>
      <c r="O476" s="30">
        <f t="shared" si="67"/>
        <v>0</v>
      </c>
    </row>
    <row r="477" spans="2:15" ht="13.5" thickBot="1" x14ac:dyDescent="0.25">
      <c r="B477" s="34" t="s">
        <v>87</v>
      </c>
      <c r="C477" s="34"/>
      <c r="D477" s="23"/>
      <c r="E477" s="24">
        <v>4.3600000000000003</v>
      </c>
      <c r="F477" s="30">
        <f t="shared" si="62"/>
        <v>0</v>
      </c>
      <c r="G477" s="23"/>
      <c r="H477" s="31"/>
      <c r="I477" s="30">
        <f t="shared" si="58"/>
        <v>0</v>
      </c>
      <c r="J477" s="23"/>
      <c r="K477" s="32">
        <v>0.89380000000000004</v>
      </c>
      <c r="L477" s="30">
        <f t="shared" si="63"/>
        <v>0</v>
      </c>
      <c r="M477" s="23"/>
      <c r="N477" s="33"/>
      <c r="O477" s="30">
        <f t="shared" si="67"/>
        <v>0</v>
      </c>
    </row>
    <row r="478" spans="2:15" ht="16.5" thickBot="1" x14ac:dyDescent="0.3">
      <c r="B478" s="36"/>
      <c r="C478" s="37">
        <f>SUM(C458:C477)</f>
        <v>8938.130000000001</v>
      </c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2:15" ht="13.5" thickBot="1" x14ac:dyDescent="0.25">
      <c r="B479" s="23"/>
      <c r="C479" s="38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2:15" ht="16.5" thickBot="1" x14ac:dyDescent="0.3">
      <c r="B480" s="23"/>
      <c r="C480" s="39" t="s">
        <v>88</v>
      </c>
      <c r="D480" s="40"/>
      <c r="E480" s="41" t="s">
        <v>89</v>
      </c>
      <c r="F480" s="37">
        <f>SUM(F458:F478)</f>
        <v>8698.3186999999998</v>
      </c>
      <c r="G480" s="42"/>
      <c r="H480" s="43" t="s">
        <v>90</v>
      </c>
      <c r="I480" s="37">
        <f>SUM(I458:I478)</f>
        <v>0</v>
      </c>
      <c r="J480" s="44"/>
      <c r="K480" s="41" t="s">
        <v>91</v>
      </c>
      <c r="L480" s="37">
        <f>SUM(L458:L478)</f>
        <v>162.67396600000001</v>
      </c>
      <c r="M480" s="44"/>
      <c r="N480" s="41" t="s">
        <v>92</v>
      </c>
      <c r="O480" s="37">
        <f>(SUM(O458:O478)/6)*0.25</f>
        <v>0</v>
      </c>
    </row>
    <row r="481" spans="2:15" ht="13.5" thickBot="1" x14ac:dyDescent="0.25">
      <c r="B481" s="23"/>
      <c r="C481" s="23"/>
      <c r="D481" s="23"/>
      <c r="E481" s="23"/>
      <c r="F481" s="45"/>
      <c r="G481" s="45"/>
      <c r="H481" s="45"/>
      <c r="I481" s="45"/>
      <c r="J481" s="23"/>
      <c r="K481" s="23"/>
      <c r="L481" s="23"/>
      <c r="M481" s="23"/>
      <c r="N481" s="23"/>
      <c r="O481" s="23"/>
    </row>
    <row r="482" spans="2:15" ht="16.5" thickBot="1" x14ac:dyDescent="0.3">
      <c r="B482" s="23"/>
      <c r="C482" s="46" t="s">
        <v>93</v>
      </c>
      <c r="D482" s="47"/>
      <c r="E482" s="47"/>
      <c r="F482" s="47"/>
      <c r="G482" s="47"/>
      <c r="H482" s="47"/>
      <c r="I482" s="48">
        <f>(F480-I480-L480)*0.95</f>
        <v>8108.8624972999987</v>
      </c>
      <c r="J482" s="23"/>
      <c r="K482" s="23"/>
      <c r="L482" s="23"/>
      <c r="M482" s="23"/>
      <c r="N482" s="23"/>
      <c r="O482" s="23"/>
    </row>
    <row r="483" spans="2:15" ht="13.5" thickBot="1" x14ac:dyDescent="0.25">
      <c r="B483" s="23"/>
      <c r="C483" s="23"/>
      <c r="D483" s="23"/>
      <c r="E483" s="23"/>
      <c r="F483" s="45"/>
      <c r="G483" s="45"/>
      <c r="H483" s="45"/>
      <c r="I483" s="45"/>
      <c r="J483" s="23"/>
      <c r="K483" s="23"/>
      <c r="L483" s="23"/>
      <c r="M483" s="23"/>
      <c r="N483" s="23"/>
      <c r="O483" s="23"/>
    </row>
    <row r="484" spans="2:15" ht="16.5" thickBot="1" x14ac:dyDescent="0.3">
      <c r="B484" s="23"/>
      <c r="C484" s="46" t="s">
        <v>94</v>
      </c>
      <c r="D484" s="49"/>
      <c r="E484" s="49"/>
      <c r="F484" s="49"/>
      <c r="G484" s="49"/>
      <c r="H484" s="49"/>
      <c r="I484" s="48">
        <f>((F480-I482)*1.2)</f>
        <v>707.34744324000133</v>
      </c>
      <c r="J484" s="23"/>
      <c r="K484" s="23">
        <f>+I484</f>
        <v>707.34744324000133</v>
      </c>
      <c r="L484" s="23"/>
      <c r="M484" s="23"/>
      <c r="N484" s="23"/>
      <c r="O484" s="23"/>
    </row>
    <row r="485" spans="2:15" x14ac:dyDescent="0.2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2:15" ht="18" x14ac:dyDescent="0.25">
      <c r="B486" s="23"/>
      <c r="C486" s="1567" t="s">
        <v>95</v>
      </c>
      <c r="D486" s="1567"/>
      <c r="E486" s="1567"/>
      <c r="F486" s="1567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2:15" ht="13.5" thickBot="1" x14ac:dyDescent="0.25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2:15" ht="13.5" thickBot="1" x14ac:dyDescent="0.25">
      <c r="B488" s="45"/>
      <c r="C488" s="50" t="s">
        <v>96</v>
      </c>
      <c r="D488" s="45"/>
      <c r="E488" s="50" t="s">
        <v>97</v>
      </c>
      <c r="F488" s="51" t="s">
        <v>98</v>
      </c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2:15" x14ac:dyDescent="0.2">
      <c r="B489" s="21" t="s">
        <v>71</v>
      </c>
      <c r="C489" s="25"/>
      <c r="D489" s="45"/>
      <c r="E489" s="52">
        <v>0.02</v>
      </c>
      <c r="F489" s="53">
        <f>(E489*C489)+C489</f>
        <v>0</v>
      </c>
      <c r="G489" s="23"/>
      <c r="H489" s="23"/>
      <c r="I489" s="23">
        <f>+F480*0.35</f>
        <v>3044.4115449999999</v>
      </c>
      <c r="J489" s="23"/>
      <c r="K489" s="23"/>
      <c r="L489" s="62" t="s">
        <v>100</v>
      </c>
      <c r="M489" s="63"/>
      <c r="N489" s="23"/>
      <c r="O489" s="23"/>
    </row>
    <row r="490" spans="2:15" x14ac:dyDescent="0.2">
      <c r="B490" s="21" t="s">
        <v>72</v>
      </c>
      <c r="C490" s="25"/>
      <c r="D490" s="45"/>
      <c r="E490" s="54">
        <v>0.02</v>
      </c>
      <c r="F490" s="55">
        <f>(E490*C490)+C490</f>
        <v>0</v>
      </c>
      <c r="G490" s="23"/>
      <c r="H490" s="23"/>
      <c r="I490" s="23">
        <f>+F480*0.35</f>
        <v>3044.4115449999999</v>
      </c>
      <c r="J490" s="23"/>
      <c r="K490" s="23">
        <f>+F480*0.3</f>
        <v>2609.4956099999999</v>
      </c>
      <c r="L490" s="64">
        <f>+K490*1.2</f>
        <v>3131.3947319999997</v>
      </c>
      <c r="M490" s="65"/>
      <c r="N490" s="23"/>
      <c r="O490" s="23"/>
    </row>
    <row r="491" spans="2:15" x14ac:dyDescent="0.2">
      <c r="B491" s="21" t="s">
        <v>73</v>
      </c>
      <c r="C491" s="25">
        <f>C462</f>
        <v>0</v>
      </c>
      <c r="D491" s="45"/>
      <c r="E491" s="54">
        <v>0.02</v>
      </c>
      <c r="F491" s="55">
        <f>(E491*C491)+C491</f>
        <v>0</v>
      </c>
      <c r="G491" s="23"/>
      <c r="H491" s="23"/>
      <c r="I491" s="23">
        <f>+F480*0.3</f>
        <v>2609.4956099999999</v>
      </c>
      <c r="J491" s="23"/>
      <c r="K491" s="23"/>
      <c r="L491" s="62" t="s">
        <v>101</v>
      </c>
      <c r="M491" s="63"/>
      <c r="N491" s="23"/>
      <c r="O491" s="23"/>
    </row>
    <row r="492" spans="2:15" x14ac:dyDescent="0.2">
      <c r="B492" s="21" t="s">
        <v>74</v>
      </c>
      <c r="C492" s="25">
        <f>C463</f>
        <v>4648.62</v>
      </c>
      <c r="D492" s="45"/>
      <c r="E492" s="54">
        <v>0.03</v>
      </c>
      <c r="F492" s="55">
        <f>(E492*C492)+C492</f>
        <v>4788.0785999999998</v>
      </c>
      <c r="G492" s="23"/>
      <c r="H492" s="23"/>
      <c r="I492" s="23"/>
      <c r="J492" s="23"/>
      <c r="K492" s="23"/>
      <c r="L492" s="64">
        <f>+I484+L490</f>
        <v>3838.742175240001</v>
      </c>
      <c r="M492" s="65"/>
      <c r="N492" s="23"/>
      <c r="O492" s="23"/>
    </row>
    <row r="493" spans="2:15" x14ac:dyDescent="0.2">
      <c r="B493" s="21" t="s">
        <v>75</v>
      </c>
      <c r="C493" s="25">
        <f>C465</f>
        <v>0</v>
      </c>
      <c r="D493" s="45"/>
      <c r="E493" s="54">
        <v>0.03</v>
      </c>
      <c r="F493" s="55">
        <f>C493*E493+C493</f>
        <v>0</v>
      </c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2:15" x14ac:dyDescent="0.2">
      <c r="B494" s="21" t="s">
        <v>76</v>
      </c>
      <c r="C494" s="25">
        <f t="shared" ref="C494:C505" si="68">C466</f>
        <v>0</v>
      </c>
      <c r="D494" s="45"/>
      <c r="E494" s="54">
        <v>0.04</v>
      </c>
      <c r="F494" s="55">
        <f t="shared" ref="F494:F505" si="69">(E494*C494)+C494</f>
        <v>0</v>
      </c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2:15" x14ac:dyDescent="0.2">
      <c r="B495" s="21" t="s">
        <v>77</v>
      </c>
      <c r="C495" s="25">
        <f t="shared" si="68"/>
        <v>0</v>
      </c>
      <c r="D495" s="45"/>
      <c r="E495" s="54">
        <v>0.04</v>
      </c>
      <c r="F495" s="55">
        <f t="shared" si="69"/>
        <v>0</v>
      </c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2:15" x14ac:dyDescent="0.2">
      <c r="B496" s="21" t="s">
        <v>78</v>
      </c>
      <c r="C496" s="25">
        <f t="shared" si="68"/>
        <v>0</v>
      </c>
      <c r="D496" s="45"/>
      <c r="E496" s="54">
        <v>0.04</v>
      </c>
      <c r="F496" s="55">
        <f t="shared" si="69"/>
        <v>0</v>
      </c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2:15" x14ac:dyDescent="0.2">
      <c r="B497" s="21" t="s">
        <v>79</v>
      </c>
      <c r="C497" s="25">
        <f t="shared" si="68"/>
        <v>0</v>
      </c>
      <c r="D497" s="45"/>
      <c r="E497" s="54">
        <v>0.05</v>
      </c>
      <c r="F497" s="55">
        <f t="shared" si="69"/>
        <v>0</v>
      </c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2:15" x14ac:dyDescent="0.2">
      <c r="B498" s="21" t="s">
        <v>80</v>
      </c>
      <c r="C498" s="25">
        <f t="shared" si="68"/>
        <v>0</v>
      </c>
      <c r="D498" s="45"/>
      <c r="E498" s="54">
        <v>0.05</v>
      </c>
      <c r="F498" s="55">
        <f t="shared" si="69"/>
        <v>0</v>
      </c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2:15" x14ac:dyDescent="0.2">
      <c r="B499" s="21" t="s">
        <v>81</v>
      </c>
      <c r="C499" s="25">
        <f t="shared" si="68"/>
        <v>0</v>
      </c>
      <c r="D499" s="45"/>
      <c r="E499" s="54">
        <v>0.06</v>
      </c>
      <c r="F499" s="55">
        <f t="shared" si="69"/>
        <v>0</v>
      </c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2:15" x14ac:dyDescent="0.2">
      <c r="B500" s="21" t="s">
        <v>82</v>
      </c>
      <c r="C500" s="25">
        <f t="shared" si="68"/>
        <v>0</v>
      </c>
      <c r="D500" s="45"/>
      <c r="E500" s="54">
        <v>7.0000000000000007E-2</v>
      </c>
      <c r="F500" s="55">
        <f t="shared" si="69"/>
        <v>0</v>
      </c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2:15" x14ac:dyDescent="0.2">
      <c r="B501" s="21" t="s">
        <v>83</v>
      </c>
      <c r="C501" s="25">
        <f t="shared" si="68"/>
        <v>0</v>
      </c>
      <c r="D501" s="45"/>
      <c r="E501" s="54"/>
      <c r="F501" s="55">
        <f t="shared" si="69"/>
        <v>0</v>
      </c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2:15" x14ac:dyDescent="0.2">
      <c r="B502" s="21" t="s">
        <v>84</v>
      </c>
      <c r="C502" s="25">
        <f t="shared" si="68"/>
        <v>0</v>
      </c>
      <c r="D502" s="45"/>
      <c r="E502" s="54"/>
      <c r="F502" s="55">
        <f t="shared" si="69"/>
        <v>0</v>
      </c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2:15" x14ac:dyDescent="0.2">
      <c r="B503" s="21" t="s">
        <v>85</v>
      </c>
      <c r="C503" s="25">
        <f t="shared" si="68"/>
        <v>0</v>
      </c>
      <c r="D503" s="45"/>
      <c r="E503" s="54"/>
      <c r="F503" s="55">
        <f t="shared" si="69"/>
        <v>0</v>
      </c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2:15" x14ac:dyDescent="0.2">
      <c r="B504" s="21" t="s">
        <v>86</v>
      </c>
      <c r="C504" s="25">
        <f t="shared" si="68"/>
        <v>0</v>
      </c>
      <c r="D504" s="45"/>
      <c r="E504" s="54"/>
      <c r="F504" s="55">
        <f t="shared" si="69"/>
        <v>0</v>
      </c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2:15" x14ac:dyDescent="0.2">
      <c r="B505" s="21" t="s">
        <v>87</v>
      </c>
      <c r="C505" s="25">
        <f t="shared" si="68"/>
        <v>0</v>
      </c>
      <c r="D505" s="45"/>
      <c r="E505" s="54"/>
      <c r="F505" s="55">
        <f t="shared" si="69"/>
        <v>0</v>
      </c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2:15" x14ac:dyDescent="0.2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9" spans="2:15" x14ac:dyDescent="0.2">
      <c r="C509" s="61" t="s">
        <v>107</v>
      </c>
      <c r="D509" s="61"/>
      <c r="E509" s="61"/>
    </row>
    <row r="510" spans="2:15" ht="13.5" thickBot="1" x14ac:dyDescent="0.25"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</row>
    <row r="511" spans="2:15" ht="13.5" thickBot="1" x14ac:dyDescent="0.25">
      <c r="B511" s="14"/>
      <c r="C511" s="14"/>
      <c r="D511" s="14"/>
      <c r="E511" s="1565" t="s">
        <v>63</v>
      </c>
      <c r="F511" s="1566"/>
      <c r="G511" s="16"/>
      <c r="H511" s="1565" t="s">
        <v>64</v>
      </c>
      <c r="I511" s="1566"/>
      <c r="J511" s="16"/>
      <c r="K511" s="1565" t="s">
        <v>65</v>
      </c>
      <c r="L511" s="1566"/>
      <c r="M511" s="16"/>
      <c r="N511" s="1565" t="s">
        <v>66</v>
      </c>
      <c r="O511" s="1566"/>
    </row>
    <row r="512" spans="2:15" ht="13.5" thickBot="1" x14ac:dyDescent="0.25">
      <c r="B512" s="14"/>
      <c r="C512" s="17" t="s">
        <v>67</v>
      </c>
      <c r="D512" s="14"/>
      <c r="E512" s="18" t="s">
        <v>68</v>
      </c>
      <c r="F512" s="19" t="s">
        <v>69</v>
      </c>
      <c r="G512" s="16"/>
      <c r="H512" s="18" t="s">
        <v>68</v>
      </c>
      <c r="I512" s="19" t="s">
        <v>69</v>
      </c>
      <c r="J512" s="16"/>
      <c r="K512" s="18" t="s">
        <v>68</v>
      </c>
      <c r="L512" s="19" t="s">
        <v>69</v>
      </c>
      <c r="M512" s="16"/>
      <c r="N512" s="18" t="s">
        <v>68</v>
      </c>
      <c r="O512" s="19" t="s">
        <v>70</v>
      </c>
    </row>
    <row r="513" spans="2:15" x14ac:dyDescent="0.2">
      <c r="B513" s="21" t="s">
        <v>71</v>
      </c>
      <c r="C513" s="22"/>
      <c r="D513" s="23"/>
      <c r="E513" s="24">
        <v>0.63</v>
      </c>
      <c r="F513" s="25">
        <f>+E513*C513</f>
        <v>0</v>
      </c>
      <c r="G513" s="23"/>
      <c r="H513" s="26">
        <v>0.06</v>
      </c>
      <c r="I513" s="25">
        <f t="shared" ref="I513:I517" si="70">+H513*C513</f>
        <v>0</v>
      </c>
      <c r="J513" s="23"/>
      <c r="K513" s="27">
        <v>2E-3</v>
      </c>
      <c r="L513" s="25">
        <f>+K513*C513</f>
        <v>0</v>
      </c>
      <c r="M513" s="23"/>
      <c r="N513" s="28">
        <v>1.388E-2</v>
      </c>
      <c r="O513" s="25">
        <f>+N513*C513</f>
        <v>0</v>
      </c>
    </row>
    <row r="514" spans="2:15" x14ac:dyDescent="0.2">
      <c r="B514" s="21" t="s">
        <v>71</v>
      </c>
      <c r="C514" s="22"/>
      <c r="D514" s="23"/>
      <c r="E514" s="24">
        <v>0.63</v>
      </c>
      <c r="F514" s="25">
        <f t="shared" ref="F514" si="71">+E514*C514</f>
        <v>0</v>
      </c>
      <c r="G514" s="23"/>
      <c r="H514" s="26">
        <v>0.06</v>
      </c>
      <c r="I514" s="25">
        <f t="shared" si="70"/>
        <v>0</v>
      </c>
      <c r="J514" s="23"/>
      <c r="K514" s="27">
        <v>2E-3</v>
      </c>
      <c r="L514" s="25">
        <f t="shared" ref="L514" si="72">+K514*C514</f>
        <v>0</v>
      </c>
      <c r="M514" s="23"/>
      <c r="N514" s="28">
        <v>1.388E-2</v>
      </c>
      <c r="O514" s="25">
        <f t="shared" ref="O514" si="73">+N514*C514</f>
        <v>0</v>
      </c>
    </row>
    <row r="515" spans="2:15" x14ac:dyDescent="0.2">
      <c r="B515" s="21" t="s">
        <v>72</v>
      </c>
      <c r="C515" s="29">
        <v>733.63</v>
      </c>
      <c r="D515" s="23"/>
      <c r="E515" s="24">
        <v>0.65</v>
      </c>
      <c r="F515" s="30">
        <f>+E515*C515</f>
        <v>476.85950000000003</v>
      </c>
      <c r="G515" s="23"/>
      <c r="H515" s="31">
        <v>0.06</v>
      </c>
      <c r="I515" s="30"/>
      <c r="J515" s="23"/>
      <c r="K515" s="32">
        <v>4.5999999999999999E-3</v>
      </c>
      <c r="L515" s="30">
        <f>+K515*C515</f>
        <v>3.374698</v>
      </c>
      <c r="M515" s="23"/>
      <c r="N515" s="33">
        <v>1.7860000000000001E-2</v>
      </c>
      <c r="O515" s="30">
        <f>+N515*C515</f>
        <v>13.102631800000001</v>
      </c>
    </row>
    <row r="516" spans="2:15" x14ac:dyDescent="0.2">
      <c r="B516" s="21" t="s">
        <v>72</v>
      </c>
      <c r="C516" s="29">
        <v>1880.15</v>
      </c>
      <c r="D516" s="23"/>
      <c r="E516" s="24">
        <v>0.65</v>
      </c>
      <c r="F516" s="30">
        <f t="shared" ref="F516:F531" si="74">+E516*C516</f>
        <v>1222.0975000000001</v>
      </c>
      <c r="G516" s="23"/>
      <c r="H516" s="31">
        <v>0.06</v>
      </c>
      <c r="I516" s="30">
        <f t="shared" si="70"/>
        <v>112.809</v>
      </c>
      <c r="J516" s="23"/>
      <c r="K516" s="32">
        <v>4.5999999999999999E-3</v>
      </c>
      <c r="L516" s="30">
        <f t="shared" ref="L516:L531" si="75">+K516*C516</f>
        <v>8.6486900000000002</v>
      </c>
      <c r="M516" s="23"/>
      <c r="N516" s="33">
        <v>1.7860000000000001E-2</v>
      </c>
      <c r="O516" s="30">
        <f t="shared" ref="O516:O517" si="76">+N516*C516</f>
        <v>33.579479000000006</v>
      </c>
    </row>
    <row r="517" spans="2:15" x14ac:dyDescent="0.2">
      <c r="B517" s="21" t="s">
        <v>73</v>
      </c>
      <c r="C517" s="29"/>
      <c r="D517" s="23"/>
      <c r="E517" s="24">
        <v>0.66</v>
      </c>
      <c r="F517" s="30">
        <f t="shared" si="74"/>
        <v>0</v>
      </c>
      <c r="G517" s="23"/>
      <c r="H517" s="31">
        <v>0.06</v>
      </c>
      <c r="I517" s="30">
        <f t="shared" si="70"/>
        <v>0</v>
      </c>
      <c r="J517" s="23"/>
      <c r="K517" s="32">
        <v>8.0999999999999996E-3</v>
      </c>
      <c r="L517" s="30">
        <f t="shared" si="75"/>
        <v>0</v>
      </c>
      <c r="M517" s="23"/>
      <c r="N517" s="33">
        <v>2.5000000000000001E-2</v>
      </c>
      <c r="O517" s="30">
        <f t="shared" si="76"/>
        <v>0</v>
      </c>
    </row>
    <row r="518" spans="2:15" x14ac:dyDescent="0.2">
      <c r="B518" s="21" t="s">
        <v>74</v>
      </c>
      <c r="C518" s="21"/>
      <c r="D518" s="23"/>
      <c r="E518" s="24">
        <v>0.81</v>
      </c>
      <c r="F518" s="30">
        <f t="shared" si="74"/>
        <v>0</v>
      </c>
      <c r="G518" s="23"/>
      <c r="H518" s="31">
        <v>7.0000000000000007E-2</v>
      </c>
      <c r="I518" s="30"/>
      <c r="J518" s="23"/>
      <c r="K518" s="32">
        <v>1.8200000000000001E-2</v>
      </c>
      <c r="L518" s="30">
        <f t="shared" si="75"/>
        <v>0</v>
      </c>
      <c r="M518" s="23"/>
      <c r="N518" s="33">
        <v>7.8100000000000003E-2</v>
      </c>
      <c r="O518" s="30"/>
    </row>
    <row r="519" spans="2:15" x14ac:dyDescent="0.2">
      <c r="B519" s="21" t="s">
        <v>75</v>
      </c>
      <c r="C519" s="21"/>
      <c r="D519" s="23"/>
      <c r="E519" s="24">
        <v>0.9</v>
      </c>
      <c r="F519" s="30">
        <f t="shared" si="74"/>
        <v>0</v>
      </c>
      <c r="G519" s="23"/>
      <c r="H519" s="31">
        <v>7.4999999999999997E-2</v>
      </c>
      <c r="I519" s="30">
        <f t="shared" ref="I519:I531" si="77">+H519*C519</f>
        <v>0</v>
      </c>
      <c r="J519" s="23"/>
      <c r="K519" s="32">
        <v>3.2399999999999998E-2</v>
      </c>
      <c r="L519" s="30">
        <f t="shared" si="75"/>
        <v>0</v>
      </c>
      <c r="M519" s="23"/>
      <c r="N519" s="33">
        <v>0.156</v>
      </c>
      <c r="O519" s="30">
        <f t="shared" ref="O519:O531" si="78">+N519*C519</f>
        <v>0</v>
      </c>
    </row>
    <row r="520" spans="2:15" x14ac:dyDescent="0.2">
      <c r="B520" s="21" t="s">
        <v>76</v>
      </c>
      <c r="C520" s="21"/>
      <c r="D520" s="23"/>
      <c r="E520" s="24">
        <v>1</v>
      </c>
      <c r="F520" s="30">
        <f t="shared" si="74"/>
        <v>0</v>
      </c>
      <c r="G520" s="23"/>
      <c r="H520" s="31">
        <v>0.08</v>
      </c>
      <c r="I520" s="30">
        <f t="shared" si="77"/>
        <v>0</v>
      </c>
      <c r="J520" s="23"/>
      <c r="K520" s="32">
        <v>5.0700000000000002E-2</v>
      </c>
      <c r="L520" s="30">
        <f t="shared" si="75"/>
        <v>0</v>
      </c>
      <c r="M520" s="23"/>
      <c r="N520" s="33">
        <v>0.23430000000000001</v>
      </c>
      <c r="O520" s="30">
        <f t="shared" si="78"/>
        <v>0</v>
      </c>
    </row>
    <row r="521" spans="2:15" x14ac:dyDescent="0.2">
      <c r="B521" s="21" t="s">
        <v>77</v>
      </c>
      <c r="C521" s="21"/>
      <c r="D521" s="23"/>
      <c r="E521" s="24">
        <v>1.1100000000000001</v>
      </c>
      <c r="F521" s="30">
        <f t="shared" si="74"/>
        <v>0</v>
      </c>
      <c r="G521" s="23"/>
      <c r="H521" s="31">
        <v>8.5000000000000006E-2</v>
      </c>
      <c r="I521" s="30">
        <f t="shared" si="77"/>
        <v>0</v>
      </c>
      <c r="J521" s="23"/>
      <c r="K521" s="32">
        <v>7.2999999999999995E-2</v>
      </c>
      <c r="L521" s="30">
        <f t="shared" si="75"/>
        <v>0</v>
      </c>
      <c r="M521" s="23"/>
      <c r="N521" s="33">
        <v>0.3125</v>
      </c>
      <c r="O521" s="30">
        <f t="shared" si="78"/>
        <v>0</v>
      </c>
    </row>
    <row r="522" spans="2:15" x14ac:dyDescent="0.2">
      <c r="B522" s="21" t="s">
        <v>78</v>
      </c>
      <c r="C522" s="21"/>
      <c r="D522" s="23"/>
      <c r="E522" s="24">
        <v>1.22</v>
      </c>
      <c r="F522" s="30">
        <f t="shared" si="74"/>
        <v>0</v>
      </c>
      <c r="G522" s="23"/>
      <c r="H522" s="31">
        <v>0.09</v>
      </c>
      <c r="I522" s="30">
        <f t="shared" si="77"/>
        <v>0</v>
      </c>
      <c r="J522" s="23"/>
      <c r="K522" s="32">
        <v>9.9299999999999999E-2</v>
      </c>
      <c r="L522" s="30">
        <f t="shared" si="75"/>
        <v>0</v>
      </c>
      <c r="M522" s="23"/>
      <c r="N522" s="33"/>
      <c r="O522" s="30">
        <f t="shared" si="78"/>
        <v>0</v>
      </c>
    </row>
    <row r="523" spans="2:15" x14ac:dyDescent="0.2">
      <c r="B523" s="21" t="s">
        <v>79</v>
      </c>
      <c r="C523" s="21"/>
      <c r="D523" s="23"/>
      <c r="E523" s="24">
        <v>1.4</v>
      </c>
      <c r="F523" s="30">
        <f t="shared" si="74"/>
        <v>0</v>
      </c>
      <c r="G523" s="23"/>
      <c r="H523" s="31">
        <v>0.1</v>
      </c>
      <c r="I523" s="30">
        <f t="shared" si="77"/>
        <v>0</v>
      </c>
      <c r="J523" s="23"/>
      <c r="K523" s="32">
        <v>0.12970000000000001</v>
      </c>
      <c r="L523" s="30">
        <f t="shared" si="75"/>
        <v>0</v>
      </c>
      <c r="M523" s="23"/>
      <c r="N523" s="33">
        <v>0.41660000000000003</v>
      </c>
      <c r="O523" s="30">
        <f t="shared" si="78"/>
        <v>0</v>
      </c>
    </row>
    <row r="524" spans="2:15" x14ac:dyDescent="0.2">
      <c r="B524" s="21" t="s">
        <v>80</v>
      </c>
      <c r="C524" s="21"/>
      <c r="D524" s="23"/>
      <c r="E524" s="24">
        <v>1.67</v>
      </c>
      <c r="F524" s="30">
        <f t="shared" si="74"/>
        <v>0</v>
      </c>
      <c r="G524" s="23"/>
      <c r="H524" s="31">
        <v>0.115</v>
      </c>
      <c r="I524" s="30">
        <f t="shared" si="77"/>
        <v>0</v>
      </c>
      <c r="J524" s="23"/>
      <c r="K524" s="32">
        <v>0.16420000000000001</v>
      </c>
      <c r="L524" s="30">
        <f t="shared" si="75"/>
        <v>0</v>
      </c>
      <c r="M524" s="23"/>
      <c r="N524" s="33"/>
      <c r="O524" s="30">
        <f t="shared" si="78"/>
        <v>0</v>
      </c>
    </row>
    <row r="525" spans="2:15" x14ac:dyDescent="0.2">
      <c r="B525" s="21" t="s">
        <v>81</v>
      </c>
      <c r="C525" s="21"/>
      <c r="D525" s="23"/>
      <c r="E525" s="24">
        <v>1.8</v>
      </c>
      <c r="F525" s="30">
        <f t="shared" si="74"/>
        <v>0</v>
      </c>
      <c r="G525" s="23"/>
      <c r="H525" s="31">
        <v>0.12</v>
      </c>
      <c r="I525" s="30">
        <f t="shared" si="77"/>
        <v>0</v>
      </c>
      <c r="J525" s="23"/>
      <c r="K525" s="32">
        <v>0.20269999999999999</v>
      </c>
      <c r="L525" s="30">
        <f t="shared" si="75"/>
        <v>0</v>
      </c>
      <c r="M525" s="23"/>
      <c r="N525" s="33"/>
      <c r="O525" s="30">
        <f t="shared" si="78"/>
        <v>0</v>
      </c>
    </row>
    <row r="526" spans="2:15" x14ac:dyDescent="0.2">
      <c r="B526" s="21" t="s">
        <v>82</v>
      </c>
      <c r="C526" s="21"/>
      <c r="D526" s="23"/>
      <c r="E526" s="24">
        <v>2.15</v>
      </c>
      <c r="F526" s="30">
        <f t="shared" si="74"/>
        <v>0</v>
      </c>
      <c r="G526" s="23"/>
      <c r="H526" s="31"/>
      <c r="I526" s="30">
        <f t="shared" si="77"/>
        <v>0</v>
      </c>
      <c r="J526" s="23"/>
      <c r="K526" s="32">
        <v>0.29189999999999999</v>
      </c>
      <c r="L526" s="30">
        <f t="shared" si="75"/>
        <v>0</v>
      </c>
      <c r="M526" s="23"/>
      <c r="N526" s="33"/>
      <c r="O526" s="30">
        <f t="shared" si="78"/>
        <v>0</v>
      </c>
    </row>
    <row r="527" spans="2:15" x14ac:dyDescent="0.2">
      <c r="B527" s="21" t="s">
        <v>83</v>
      </c>
      <c r="C527" s="21"/>
      <c r="D527" s="23"/>
      <c r="E527" s="24">
        <v>2.78</v>
      </c>
      <c r="F527" s="30">
        <f t="shared" si="74"/>
        <v>0</v>
      </c>
      <c r="G527" s="23"/>
      <c r="H527" s="31"/>
      <c r="I527" s="30">
        <f t="shared" si="77"/>
        <v>0</v>
      </c>
      <c r="J527" s="23"/>
      <c r="K527" s="32">
        <v>0.45600000000000002</v>
      </c>
      <c r="L527" s="30">
        <f t="shared" si="75"/>
        <v>0</v>
      </c>
      <c r="M527" s="23"/>
      <c r="N527" s="33"/>
      <c r="O527" s="30">
        <f t="shared" si="78"/>
        <v>0</v>
      </c>
    </row>
    <row r="528" spans="2:15" x14ac:dyDescent="0.2">
      <c r="B528" s="21" t="s">
        <v>84</v>
      </c>
      <c r="C528" s="21"/>
      <c r="D528" s="23"/>
      <c r="E528" s="24">
        <v>3.72</v>
      </c>
      <c r="F528" s="30">
        <f t="shared" si="74"/>
        <v>0</v>
      </c>
      <c r="G528" s="23"/>
      <c r="H528" s="31"/>
      <c r="I528" s="30">
        <f t="shared" si="77"/>
        <v>0</v>
      </c>
      <c r="J528" s="23"/>
      <c r="K528" s="32">
        <v>0.65669999999999995</v>
      </c>
      <c r="L528" s="30">
        <f t="shared" si="75"/>
        <v>0</v>
      </c>
      <c r="M528" s="23"/>
      <c r="N528" s="33"/>
      <c r="O528" s="30">
        <f t="shared" si="78"/>
        <v>0</v>
      </c>
    </row>
    <row r="529" spans="2:15" x14ac:dyDescent="0.2">
      <c r="B529" s="21" t="s">
        <v>85</v>
      </c>
      <c r="C529" s="21"/>
      <c r="D529" s="23"/>
      <c r="E529" s="24">
        <v>3.95</v>
      </c>
      <c r="F529" s="30">
        <f t="shared" si="74"/>
        <v>0</v>
      </c>
      <c r="G529" s="23"/>
      <c r="H529" s="31"/>
      <c r="I529" s="30">
        <f t="shared" si="77"/>
        <v>0</v>
      </c>
      <c r="J529" s="23"/>
      <c r="K529" s="32">
        <v>0.73170000000000002</v>
      </c>
      <c r="L529" s="30">
        <f t="shared" si="75"/>
        <v>0</v>
      </c>
      <c r="M529" s="23"/>
      <c r="N529" s="33"/>
      <c r="O529" s="30">
        <f t="shared" si="78"/>
        <v>0</v>
      </c>
    </row>
    <row r="530" spans="2:15" x14ac:dyDescent="0.2">
      <c r="B530" s="21" t="s">
        <v>86</v>
      </c>
      <c r="C530" s="21"/>
      <c r="D530" s="23"/>
      <c r="E530" s="24">
        <v>4.16</v>
      </c>
      <c r="F530" s="30">
        <f t="shared" si="74"/>
        <v>0</v>
      </c>
      <c r="G530" s="23"/>
      <c r="H530" s="31"/>
      <c r="I530" s="30">
        <f t="shared" si="77"/>
        <v>0</v>
      </c>
      <c r="J530" s="23"/>
      <c r="K530" s="32">
        <v>0.81069999999999998</v>
      </c>
      <c r="L530" s="30">
        <f t="shared" si="75"/>
        <v>0</v>
      </c>
      <c r="M530" s="23"/>
      <c r="N530" s="33"/>
      <c r="O530" s="30">
        <f t="shared" si="78"/>
        <v>0</v>
      </c>
    </row>
    <row r="531" spans="2:15" ht="13.5" thickBot="1" x14ac:dyDescent="0.25">
      <c r="B531" s="34" t="s">
        <v>87</v>
      </c>
      <c r="C531" s="34"/>
      <c r="D531" s="23"/>
      <c r="E531" s="24">
        <v>4.3600000000000003</v>
      </c>
      <c r="F531" s="30">
        <f t="shared" si="74"/>
        <v>0</v>
      </c>
      <c r="G531" s="23"/>
      <c r="H531" s="31"/>
      <c r="I531" s="30">
        <f t="shared" si="77"/>
        <v>0</v>
      </c>
      <c r="J531" s="23"/>
      <c r="K531" s="32">
        <v>0.89380000000000004</v>
      </c>
      <c r="L531" s="30">
        <f t="shared" si="75"/>
        <v>0</v>
      </c>
      <c r="M531" s="23"/>
      <c r="N531" s="33"/>
      <c r="O531" s="30">
        <f t="shared" si="78"/>
        <v>0</v>
      </c>
    </row>
    <row r="532" spans="2:15" ht="16.5" thickBot="1" x14ac:dyDescent="0.3">
      <c r="B532" s="36"/>
      <c r="C532" s="37">
        <f>SUM(C513:C531)</f>
        <v>2613.7800000000002</v>
      </c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2:15" ht="13.5" thickBot="1" x14ac:dyDescent="0.25">
      <c r="B533" s="23"/>
      <c r="C533" s="38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2:15" ht="16.5" thickBot="1" x14ac:dyDescent="0.3">
      <c r="B534" s="23"/>
      <c r="C534" s="39" t="s">
        <v>88</v>
      </c>
      <c r="D534" s="40"/>
      <c r="E534" s="41" t="s">
        <v>89</v>
      </c>
      <c r="F534" s="37">
        <f>SUM(F513:F532)</f>
        <v>1698.9570000000001</v>
      </c>
      <c r="G534" s="42"/>
      <c r="H534" s="43" t="s">
        <v>90</v>
      </c>
      <c r="I534" s="37">
        <f>SUM(I513:I532)</f>
        <v>112.809</v>
      </c>
      <c r="J534" s="44"/>
      <c r="K534" s="41" t="s">
        <v>91</v>
      </c>
      <c r="L534" s="37">
        <f>SUM(L513:L532)</f>
        <v>12.023388000000001</v>
      </c>
      <c r="M534" s="44"/>
      <c r="N534" s="41" t="s">
        <v>92</v>
      </c>
      <c r="O534" s="37">
        <f>(SUM(O513:O532)/6)*0.25</f>
        <v>1.9450879500000002</v>
      </c>
    </row>
    <row r="535" spans="2:15" ht="13.5" thickBot="1" x14ac:dyDescent="0.25">
      <c r="B535" s="23"/>
      <c r="C535" s="23"/>
      <c r="D535" s="23"/>
      <c r="E535" s="23"/>
      <c r="F535" s="45"/>
      <c r="G535" s="45"/>
      <c r="H535" s="45"/>
      <c r="I535" s="45"/>
      <c r="J535" s="23"/>
      <c r="K535" s="23"/>
      <c r="L535" s="23"/>
      <c r="M535" s="23"/>
      <c r="N535" s="23"/>
      <c r="O535" s="23"/>
    </row>
    <row r="536" spans="2:15" ht="16.5" thickBot="1" x14ac:dyDescent="0.3">
      <c r="B536" s="23"/>
      <c r="C536" s="46" t="s">
        <v>93</v>
      </c>
      <c r="D536" s="47"/>
      <c r="E536" s="47"/>
      <c r="F536" s="47"/>
      <c r="G536" s="47"/>
      <c r="H536" s="47"/>
      <c r="I536" s="48">
        <f>(F534-I534-L534)*0.95</f>
        <v>1495.4183814</v>
      </c>
      <c r="J536" s="23"/>
      <c r="K536" s="23"/>
      <c r="L536" s="23"/>
      <c r="M536" s="23"/>
      <c r="N536" s="23"/>
      <c r="O536" s="23"/>
    </row>
    <row r="537" spans="2:15" ht="13.5" thickBot="1" x14ac:dyDescent="0.25">
      <c r="B537" s="23"/>
      <c r="C537" s="23"/>
      <c r="D537" s="23"/>
      <c r="E537" s="23"/>
      <c r="F537" s="45"/>
      <c r="G537" s="45"/>
      <c r="H537" s="45"/>
      <c r="I537" s="45"/>
      <c r="J537" s="23"/>
      <c r="K537" s="23"/>
      <c r="L537" s="23"/>
      <c r="M537" s="23"/>
      <c r="N537" s="23"/>
      <c r="O537" s="23"/>
    </row>
    <row r="538" spans="2:15" ht="16.5" thickBot="1" x14ac:dyDescent="0.3">
      <c r="B538" s="23"/>
      <c r="C538" s="46" t="s">
        <v>94</v>
      </c>
      <c r="D538" s="49"/>
      <c r="E538" s="49"/>
      <c r="F538" s="49"/>
      <c r="G538" s="49"/>
      <c r="H538" s="49"/>
      <c r="I538" s="48">
        <f>((F534-I536)*1.2)</f>
        <v>244.24634232000005</v>
      </c>
      <c r="J538" s="23"/>
      <c r="K538" s="23">
        <f>+I538</f>
        <v>244.24634232000005</v>
      </c>
      <c r="L538" s="23"/>
      <c r="M538" s="23"/>
      <c r="N538" s="23"/>
      <c r="O538" s="23"/>
    </row>
    <row r="539" spans="2:15" x14ac:dyDescent="0.2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2:15" ht="18" x14ac:dyDescent="0.25">
      <c r="B540" s="23"/>
      <c r="C540" s="1567" t="s">
        <v>95</v>
      </c>
      <c r="D540" s="1567"/>
      <c r="E540" s="1567"/>
      <c r="F540" s="1567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2:15" ht="13.5" thickBot="1" x14ac:dyDescent="0.25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2:15" ht="13.5" thickBot="1" x14ac:dyDescent="0.25">
      <c r="B542" s="45"/>
      <c r="C542" s="50" t="s">
        <v>96</v>
      </c>
      <c r="D542" s="45"/>
      <c r="E542" s="50" t="s">
        <v>97</v>
      </c>
      <c r="F542" s="51" t="s">
        <v>98</v>
      </c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2:15" x14ac:dyDescent="0.2">
      <c r="B543" s="21" t="s">
        <v>71</v>
      </c>
      <c r="C543" s="25"/>
      <c r="D543" s="45"/>
      <c r="E543" s="52">
        <v>0.02</v>
      </c>
      <c r="F543" s="53">
        <f>(E543*C543)+C543</f>
        <v>0</v>
      </c>
      <c r="G543" s="23"/>
      <c r="H543" s="23"/>
      <c r="I543" s="23">
        <f>+F534*0.35</f>
        <v>594.63495</v>
      </c>
      <c r="J543" s="23"/>
      <c r="K543" s="23"/>
      <c r="L543" s="62" t="s">
        <v>100</v>
      </c>
      <c r="M543" s="63"/>
      <c r="N543" s="23"/>
      <c r="O543" s="23"/>
    </row>
    <row r="544" spans="2:15" x14ac:dyDescent="0.2">
      <c r="B544" s="21" t="s">
        <v>72</v>
      </c>
      <c r="C544" s="25">
        <f>+C516</f>
        <v>1880.15</v>
      </c>
      <c r="D544" s="45"/>
      <c r="E544" s="54">
        <v>0.02</v>
      </c>
      <c r="F544" s="55">
        <f>(E544*C544)+C544</f>
        <v>1917.7530000000002</v>
      </c>
      <c r="G544" s="23"/>
      <c r="H544" s="23"/>
      <c r="I544" s="23">
        <f>+F534*0.35</f>
        <v>594.63495</v>
      </c>
      <c r="J544" s="23"/>
      <c r="K544" s="23">
        <f>+F534*0.3</f>
        <v>509.68709999999999</v>
      </c>
      <c r="L544" s="64">
        <f>+K544*1.2</f>
        <v>611.62451999999996</v>
      </c>
      <c r="M544" s="65"/>
      <c r="N544" s="23"/>
      <c r="O544" s="23"/>
    </row>
    <row r="545" spans="2:15" x14ac:dyDescent="0.2">
      <c r="B545" s="21" t="s">
        <v>73</v>
      </c>
      <c r="C545" s="25">
        <f>C517</f>
        <v>0</v>
      </c>
      <c r="D545" s="45"/>
      <c r="E545" s="54">
        <v>0.02</v>
      </c>
      <c r="F545" s="55">
        <f>(E545*C545)+C545</f>
        <v>0</v>
      </c>
      <c r="G545" s="23"/>
      <c r="H545" s="23"/>
      <c r="I545" s="23">
        <f>+F534*0.3</f>
        <v>509.68709999999999</v>
      </c>
      <c r="J545" s="23"/>
      <c r="K545" s="23"/>
      <c r="L545" s="62" t="s">
        <v>101</v>
      </c>
      <c r="M545" s="63"/>
      <c r="N545" s="23"/>
      <c r="O545" s="23"/>
    </row>
    <row r="546" spans="2:15" x14ac:dyDescent="0.2">
      <c r="B546" s="21" t="s">
        <v>74</v>
      </c>
      <c r="C546" s="25">
        <f>C518</f>
        <v>0</v>
      </c>
      <c r="D546" s="45"/>
      <c r="E546" s="54">
        <v>0.03</v>
      </c>
      <c r="F546" s="55">
        <f>(E546*C546)+C546</f>
        <v>0</v>
      </c>
      <c r="G546" s="23"/>
      <c r="H546" s="23"/>
      <c r="I546" s="23"/>
      <c r="J546" s="23"/>
      <c r="K546" s="23"/>
      <c r="L546" s="64">
        <f>+I538+L544</f>
        <v>855.87086232000001</v>
      </c>
      <c r="M546" s="65"/>
      <c r="N546" s="23"/>
      <c r="O546" s="23"/>
    </row>
    <row r="547" spans="2:15" x14ac:dyDescent="0.2">
      <c r="B547" s="21" t="s">
        <v>75</v>
      </c>
      <c r="C547" s="25">
        <f>C519</f>
        <v>0</v>
      </c>
      <c r="D547" s="45"/>
      <c r="E547" s="54">
        <v>0.03</v>
      </c>
      <c r="F547" s="55">
        <f>C547*E547+C547</f>
        <v>0</v>
      </c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2:15" x14ac:dyDescent="0.2">
      <c r="B548" s="21" t="s">
        <v>76</v>
      </c>
      <c r="C548" s="25">
        <f t="shared" ref="C548:C559" si="79">C520</f>
        <v>0</v>
      </c>
      <c r="D548" s="45"/>
      <c r="E548" s="54">
        <v>0.04</v>
      </c>
      <c r="F548" s="55">
        <f t="shared" ref="F548:F559" si="80">(E548*C548)+C548</f>
        <v>0</v>
      </c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2:15" x14ac:dyDescent="0.2">
      <c r="B549" s="21" t="s">
        <v>77</v>
      </c>
      <c r="C549" s="25">
        <f t="shared" si="79"/>
        <v>0</v>
      </c>
      <c r="D549" s="45"/>
      <c r="E549" s="54">
        <v>0.04</v>
      </c>
      <c r="F549" s="55">
        <f t="shared" si="80"/>
        <v>0</v>
      </c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2:15" x14ac:dyDescent="0.2">
      <c r="B550" s="21" t="s">
        <v>78</v>
      </c>
      <c r="C550" s="25">
        <f t="shared" si="79"/>
        <v>0</v>
      </c>
      <c r="D550" s="45"/>
      <c r="E550" s="54">
        <v>0.04</v>
      </c>
      <c r="F550" s="55">
        <f t="shared" si="80"/>
        <v>0</v>
      </c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2:15" x14ac:dyDescent="0.2">
      <c r="B551" s="21" t="s">
        <v>79</v>
      </c>
      <c r="C551" s="25">
        <f t="shared" si="79"/>
        <v>0</v>
      </c>
      <c r="D551" s="45"/>
      <c r="E551" s="54">
        <v>0.05</v>
      </c>
      <c r="F551" s="55">
        <f t="shared" si="80"/>
        <v>0</v>
      </c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2:15" x14ac:dyDescent="0.2">
      <c r="B552" s="21" t="s">
        <v>80</v>
      </c>
      <c r="C552" s="25">
        <f t="shared" si="79"/>
        <v>0</v>
      </c>
      <c r="D552" s="45"/>
      <c r="E552" s="54">
        <v>0.05</v>
      </c>
      <c r="F552" s="55">
        <f t="shared" si="80"/>
        <v>0</v>
      </c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2:15" x14ac:dyDescent="0.2">
      <c r="B553" s="21" t="s">
        <v>81</v>
      </c>
      <c r="C553" s="25">
        <f t="shared" si="79"/>
        <v>0</v>
      </c>
      <c r="D553" s="45"/>
      <c r="E553" s="54">
        <v>0.06</v>
      </c>
      <c r="F553" s="55">
        <f t="shared" si="80"/>
        <v>0</v>
      </c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2:15" x14ac:dyDescent="0.2">
      <c r="B554" s="21" t="s">
        <v>82</v>
      </c>
      <c r="C554" s="25">
        <f t="shared" si="79"/>
        <v>0</v>
      </c>
      <c r="D554" s="45"/>
      <c r="E554" s="54">
        <v>7.0000000000000007E-2</v>
      </c>
      <c r="F554" s="55">
        <f t="shared" si="80"/>
        <v>0</v>
      </c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2:15" x14ac:dyDescent="0.2">
      <c r="B555" s="21" t="s">
        <v>83</v>
      </c>
      <c r="C555" s="25">
        <f t="shared" si="79"/>
        <v>0</v>
      </c>
      <c r="D555" s="45"/>
      <c r="E555" s="54"/>
      <c r="F555" s="55">
        <f t="shared" si="80"/>
        <v>0</v>
      </c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2:15" x14ac:dyDescent="0.2">
      <c r="B556" s="21" t="s">
        <v>84</v>
      </c>
      <c r="C556" s="25">
        <f t="shared" si="79"/>
        <v>0</v>
      </c>
      <c r="D556" s="45"/>
      <c r="E556" s="54"/>
      <c r="F556" s="55">
        <f t="shared" si="80"/>
        <v>0</v>
      </c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2:15" x14ac:dyDescent="0.2">
      <c r="B557" s="21" t="s">
        <v>85</v>
      </c>
      <c r="C557" s="25">
        <f t="shared" si="79"/>
        <v>0</v>
      </c>
      <c r="D557" s="45"/>
      <c r="E557" s="54"/>
      <c r="F557" s="55">
        <f t="shared" si="80"/>
        <v>0</v>
      </c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2:15" x14ac:dyDescent="0.2">
      <c r="B558" s="21" t="s">
        <v>86</v>
      </c>
      <c r="C558" s="25">
        <f t="shared" si="79"/>
        <v>0</v>
      </c>
      <c r="D558" s="45"/>
      <c r="E558" s="54"/>
      <c r="F558" s="55">
        <f t="shared" si="80"/>
        <v>0</v>
      </c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2:15" x14ac:dyDescent="0.2">
      <c r="B559" s="21" t="s">
        <v>87</v>
      </c>
      <c r="C559" s="25">
        <f t="shared" si="79"/>
        <v>0</v>
      </c>
      <c r="D559" s="45"/>
      <c r="E559" s="54"/>
      <c r="F559" s="55">
        <f t="shared" si="80"/>
        <v>0</v>
      </c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2:15" x14ac:dyDescent="0.2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3" spans="2:15" x14ac:dyDescent="0.2">
      <c r="C563" s="864" t="s">
        <v>607</v>
      </c>
      <c r="D563" s="61"/>
      <c r="E563" s="61"/>
    </row>
    <row r="564" spans="2:15" ht="13.5" thickBot="1" x14ac:dyDescent="0.25"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</row>
    <row r="565" spans="2:15" ht="13.5" thickBot="1" x14ac:dyDescent="0.25">
      <c r="B565" s="14"/>
      <c r="C565" s="14"/>
      <c r="D565" s="14"/>
      <c r="E565" s="1565" t="s">
        <v>63</v>
      </c>
      <c r="F565" s="1566"/>
      <c r="G565" s="16"/>
      <c r="H565" s="1565" t="s">
        <v>64</v>
      </c>
      <c r="I565" s="1566"/>
      <c r="J565" s="16"/>
      <c r="K565" s="1565" t="s">
        <v>65</v>
      </c>
      <c r="L565" s="1566"/>
      <c r="M565" s="16"/>
      <c r="N565" s="1565" t="s">
        <v>66</v>
      </c>
      <c r="O565" s="1566"/>
    </row>
    <row r="566" spans="2:15" ht="13.5" thickBot="1" x14ac:dyDescent="0.25">
      <c r="B566" s="14"/>
      <c r="C566" s="17" t="s">
        <v>67</v>
      </c>
      <c r="D566" s="14"/>
      <c r="E566" s="18" t="s">
        <v>68</v>
      </c>
      <c r="F566" s="19" t="s">
        <v>69</v>
      </c>
      <c r="G566" s="16"/>
      <c r="H566" s="18" t="s">
        <v>68</v>
      </c>
      <c r="I566" s="19" t="s">
        <v>69</v>
      </c>
      <c r="J566" s="16"/>
      <c r="K566" s="18" t="s">
        <v>68</v>
      </c>
      <c r="L566" s="19" t="s">
        <v>69</v>
      </c>
      <c r="M566" s="16"/>
      <c r="N566" s="18" t="s">
        <v>68</v>
      </c>
      <c r="O566" s="19" t="s">
        <v>70</v>
      </c>
    </row>
    <row r="567" spans="2:15" x14ac:dyDescent="0.2">
      <c r="B567" s="21" t="s">
        <v>71</v>
      </c>
      <c r="C567" s="22"/>
      <c r="D567" s="23"/>
      <c r="E567" s="24">
        <v>0.63</v>
      </c>
      <c r="F567" s="25">
        <f>+E567*C567</f>
        <v>0</v>
      </c>
      <c r="G567" s="23"/>
      <c r="H567" s="26">
        <v>0.06</v>
      </c>
      <c r="I567" s="25">
        <f t="shared" ref="I567:I571" si="81">+H567*C567</f>
        <v>0</v>
      </c>
      <c r="J567" s="23"/>
      <c r="K567" s="27">
        <v>2E-3</v>
      </c>
      <c r="L567" s="25">
        <f>+K567*C567</f>
        <v>0</v>
      </c>
      <c r="M567" s="23"/>
      <c r="N567" s="28">
        <v>1.388E-2</v>
      </c>
      <c r="O567" s="25">
        <f>+N567*C567</f>
        <v>0</v>
      </c>
    </row>
    <row r="568" spans="2:15" x14ac:dyDescent="0.2">
      <c r="B568" s="21" t="s">
        <v>71</v>
      </c>
      <c r="C568" s="22"/>
      <c r="D568" s="23"/>
      <c r="E568" s="24">
        <v>0.63</v>
      </c>
      <c r="F568" s="25">
        <f t="shared" ref="F568" si="82">+E568*C568</f>
        <v>0</v>
      </c>
      <c r="G568" s="23"/>
      <c r="H568" s="26">
        <v>0.06</v>
      </c>
      <c r="I568" s="25">
        <f t="shared" si="81"/>
        <v>0</v>
      </c>
      <c r="J568" s="23"/>
      <c r="K568" s="27">
        <v>2E-3</v>
      </c>
      <c r="L568" s="25">
        <f t="shared" ref="L568" si="83">+K568*C568</f>
        <v>0</v>
      </c>
      <c r="M568" s="23"/>
      <c r="N568" s="28">
        <v>1.388E-2</v>
      </c>
      <c r="O568" s="25">
        <f t="shared" ref="O568" si="84">+N568*C568</f>
        <v>0</v>
      </c>
    </row>
    <row r="569" spans="2:15" x14ac:dyDescent="0.2">
      <c r="B569" s="21" t="s">
        <v>72</v>
      </c>
      <c r="C569" s="29">
        <f>10778.08-4289.51</f>
        <v>6488.57</v>
      </c>
      <c r="D569" s="23"/>
      <c r="E569" s="24">
        <v>0.65</v>
      </c>
      <c r="F569" s="30">
        <f>+E569*C569</f>
        <v>4217.5704999999998</v>
      </c>
      <c r="G569" s="23"/>
      <c r="H569" s="31">
        <v>0.06</v>
      </c>
      <c r="I569" s="30">
        <f t="shared" si="81"/>
        <v>389.31419999999997</v>
      </c>
      <c r="J569" s="23"/>
      <c r="K569" s="32">
        <v>4.5999999999999999E-3</v>
      </c>
      <c r="L569" s="30">
        <f>+K569*C569</f>
        <v>29.847421999999998</v>
      </c>
      <c r="M569" s="23"/>
      <c r="N569" s="33">
        <v>1.7860000000000001E-2</v>
      </c>
      <c r="O569" s="30">
        <f>+N569*C569</f>
        <v>115.8858602</v>
      </c>
    </row>
    <row r="570" spans="2:15" x14ac:dyDescent="0.2">
      <c r="B570" s="21" t="s">
        <v>72</v>
      </c>
      <c r="C570" s="29"/>
      <c r="D570" s="23"/>
      <c r="E570" s="24">
        <v>0.65</v>
      </c>
      <c r="F570" s="30">
        <f t="shared" ref="F570:F585" si="85">+E570*C570</f>
        <v>0</v>
      </c>
      <c r="G570" s="23"/>
      <c r="H570" s="31">
        <v>0.06</v>
      </c>
      <c r="I570" s="30">
        <f t="shared" si="81"/>
        <v>0</v>
      </c>
      <c r="J570" s="23"/>
      <c r="K570" s="32">
        <v>4.5999999999999999E-3</v>
      </c>
      <c r="L570" s="30">
        <f t="shared" ref="L570:L585" si="86">+K570*C570</f>
        <v>0</v>
      </c>
      <c r="M570" s="23"/>
      <c r="N570" s="33">
        <v>1.7860000000000001E-2</v>
      </c>
      <c r="O570" s="30">
        <f t="shared" ref="O570:O571" si="87">+N570*C570</f>
        <v>0</v>
      </c>
    </row>
    <row r="571" spans="2:15" x14ac:dyDescent="0.2">
      <c r="B571" s="21" t="s">
        <v>73</v>
      </c>
      <c r="C571" s="29">
        <v>17544.990000000002</v>
      </c>
      <c r="D571" s="23"/>
      <c r="E571" s="24">
        <v>0.66</v>
      </c>
      <c r="F571" s="30">
        <f t="shared" si="85"/>
        <v>11579.693400000002</v>
      </c>
      <c r="G571" s="23"/>
      <c r="H571" s="31">
        <v>0.06</v>
      </c>
      <c r="I571" s="30">
        <f t="shared" si="81"/>
        <v>1052.6994</v>
      </c>
      <c r="J571" s="23"/>
      <c r="K571" s="32">
        <v>8.0999999999999996E-3</v>
      </c>
      <c r="L571" s="30">
        <f t="shared" si="86"/>
        <v>142.114419</v>
      </c>
      <c r="M571" s="23"/>
      <c r="N571" s="33">
        <v>2.5000000000000001E-2</v>
      </c>
      <c r="O571" s="30">
        <f t="shared" si="87"/>
        <v>438.62475000000006</v>
      </c>
    </row>
    <row r="572" spans="2:15" x14ac:dyDescent="0.2">
      <c r="B572" s="21" t="s">
        <v>74</v>
      </c>
      <c r="C572" s="21"/>
      <c r="D572" s="23"/>
      <c r="E572" s="24">
        <v>0.81</v>
      </c>
      <c r="F572" s="30">
        <f t="shared" si="85"/>
        <v>0</v>
      </c>
      <c r="G572" s="23"/>
      <c r="H572" s="31">
        <v>7.0000000000000007E-2</v>
      </c>
      <c r="I572" s="30"/>
      <c r="J572" s="23"/>
      <c r="K572" s="32">
        <v>1.8200000000000001E-2</v>
      </c>
      <c r="L572" s="30">
        <f t="shared" si="86"/>
        <v>0</v>
      </c>
      <c r="M572" s="23"/>
      <c r="N572" s="33">
        <v>7.8100000000000003E-2</v>
      </c>
      <c r="O572" s="30"/>
    </row>
    <row r="573" spans="2:15" x14ac:dyDescent="0.2">
      <c r="B573" s="21" t="s">
        <v>75</v>
      </c>
      <c r="C573" s="21"/>
      <c r="D573" s="23"/>
      <c r="E573" s="24">
        <v>0.9</v>
      </c>
      <c r="F573" s="30">
        <f t="shared" si="85"/>
        <v>0</v>
      </c>
      <c r="G573" s="23"/>
      <c r="H573" s="31">
        <v>7.4999999999999997E-2</v>
      </c>
      <c r="I573" s="30">
        <f t="shared" ref="I573:I585" si="88">+H573*C573</f>
        <v>0</v>
      </c>
      <c r="J573" s="23"/>
      <c r="K573" s="32">
        <v>3.2399999999999998E-2</v>
      </c>
      <c r="L573" s="30">
        <f t="shared" si="86"/>
        <v>0</v>
      </c>
      <c r="M573" s="23"/>
      <c r="N573" s="33">
        <v>0.156</v>
      </c>
      <c r="O573" s="30">
        <f t="shared" ref="O573:O585" si="89">+N573*C573</f>
        <v>0</v>
      </c>
    </row>
    <row r="574" spans="2:15" x14ac:dyDescent="0.2">
      <c r="B574" s="21" t="s">
        <v>76</v>
      </c>
      <c r="C574" s="21"/>
      <c r="D574" s="23"/>
      <c r="E574" s="24">
        <v>1</v>
      </c>
      <c r="F574" s="30">
        <f t="shared" si="85"/>
        <v>0</v>
      </c>
      <c r="G574" s="23"/>
      <c r="H574" s="31">
        <v>0.08</v>
      </c>
      <c r="I574" s="30">
        <f t="shared" si="88"/>
        <v>0</v>
      </c>
      <c r="J574" s="23"/>
      <c r="K574" s="32">
        <v>5.0700000000000002E-2</v>
      </c>
      <c r="L574" s="30">
        <f t="shared" si="86"/>
        <v>0</v>
      </c>
      <c r="M574" s="23"/>
      <c r="N574" s="33">
        <v>0.23430000000000001</v>
      </c>
      <c r="O574" s="30">
        <f t="shared" si="89"/>
        <v>0</v>
      </c>
    </row>
    <row r="575" spans="2:15" x14ac:dyDescent="0.2">
      <c r="B575" s="21" t="s">
        <v>77</v>
      </c>
      <c r="C575" s="21"/>
      <c r="D575" s="23"/>
      <c r="E575" s="24">
        <v>1.1100000000000001</v>
      </c>
      <c r="F575" s="30">
        <f t="shared" si="85"/>
        <v>0</v>
      </c>
      <c r="G575" s="23"/>
      <c r="H575" s="31">
        <v>8.5000000000000006E-2</v>
      </c>
      <c r="I575" s="30">
        <f t="shared" si="88"/>
        <v>0</v>
      </c>
      <c r="J575" s="23"/>
      <c r="K575" s="32">
        <v>7.2999999999999995E-2</v>
      </c>
      <c r="L575" s="30">
        <f t="shared" si="86"/>
        <v>0</v>
      </c>
      <c r="M575" s="23"/>
      <c r="N575" s="33">
        <v>0.3125</v>
      </c>
      <c r="O575" s="30">
        <f t="shared" si="89"/>
        <v>0</v>
      </c>
    </row>
    <row r="576" spans="2:15" x14ac:dyDescent="0.2">
      <c r="B576" s="21" t="s">
        <v>78</v>
      </c>
      <c r="C576" s="21"/>
      <c r="D576" s="23"/>
      <c r="E576" s="24">
        <v>1.22</v>
      </c>
      <c r="F576" s="30">
        <f t="shared" si="85"/>
        <v>0</v>
      </c>
      <c r="G576" s="23"/>
      <c r="H576" s="31">
        <v>0.09</v>
      </c>
      <c r="I576" s="30">
        <f t="shared" si="88"/>
        <v>0</v>
      </c>
      <c r="J576" s="23"/>
      <c r="K576" s="32">
        <v>9.9299999999999999E-2</v>
      </c>
      <c r="L576" s="30">
        <f t="shared" si="86"/>
        <v>0</v>
      </c>
      <c r="M576" s="23"/>
      <c r="N576" s="33"/>
      <c r="O576" s="30">
        <f t="shared" si="89"/>
        <v>0</v>
      </c>
    </row>
    <row r="577" spans="2:15" x14ac:dyDescent="0.2">
      <c r="B577" s="21" t="s">
        <v>79</v>
      </c>
      <c r="C577" s="21"/>
      <c r="D577" s="23"/>
      <c r="E577" s="24">
        <v>1.4</v>
      </c>
      <c r="F577" s="30">
        <f t="shared" si="85"/>
        <v>0</v>
      </c>
      <c r="G577" s="23"/>
      <c r="H577" s="31">
        <v>0.1</v>
      </c>
      <c r="I577" s="30">
        <f t="shared" si="88"/>
        <v>0</v>
      </c>
      <c r="J577" s="23"/>
      <c r="K577" s="32">
        <v>0.12970000000000001</v>
      </c>
      <c r="L577" s="30">
        <f t="shared" si="86"/>
        <v>0</v>
      </c>
      <c r="M577" s="23"/>
      <c r="N577" s="33">
        <v>0.41660000000000003</v>
      </c>
      <c r="O577" s="30">
        <f t="shared" si="89"/>
        <v>0</v>
      </c>
    </row>
    <row r="578" spans="2:15" x14ac:dyDescent="0.2">
      <c r="B578" s="21" t="s">
        <v>80</v>
      </c>
      <c r="C578" s="21"/>
      <c r="D578" s="23"/>
      <c r="E578" s="24">
        <v>1.67</v>
      </c>
      <c r="F578" s="30">
        <f t="shared" si="85"/>
        <v>0</v>
      </c>
      <c r="G578" s="23"/>
      <c r="H578" s="31">
        <v>0.115</v>
      </c>
      <c r="I578" s="30">
        <f t="shared" si="88"/>
        <v>0</v>
      </c>
      <c r="J578" s="23"/>
      <c r="K578" s="32">
        <v>0.16420000000000001</v>
      </c>
      <c r="L578" s="30">
        <f t="shared" si="86"/>
        <v>0</v>
      </c>
      <c r="M578" s="23"/>
      <c r="N578" s="33"/>
      <c r="O578" s="30">
        <f t="shared" si="89"/>
        <v>0</v>
      </c>
    </row>
    <row r="579" spans="2:15" x14ac:dyDescent="0.2">
      <c r="B579" s="21" t="s">
        <v>81</v>
      </c>
      <c r="C579" s="21"/>
      <c r="D579" s="23"/>
      <c r="E579" s="24">
        <v>1.8</v>
      </c>
      <c r="F579" s="30">
        <f t="shared" si="85"/>
        <v>0</v>
      </c>
      <c r="G579" s="23"/>
      <c r="H579" s="31">
        <v>0.12</v>
      </c>
      <c r="I579" s="30">
        <f t="shared" si="88"/>
        <v>0</v>
      </c>
      <c r="J579" s="23"/>
      <c r="K579" s="32">
        <v>0.20269999999999999</v>
      </c>
      <c r="L579" s="30">
        <f t="shared" si="86"/>
        <v>0</v>
      </c>
      <c r="M579" s="23"/>
      <c r="N579" s="33"/>
      <c r="O579" s="30">
        <f t="shared" si="89"/>
        <v>0</v>
      </c>
    </row>
    <row r="580" spans="2:15" x14ac:dyDescent="0.2">
      <c r="B580" s="21" t="s">
        <v>82</v>
      </c>
      <c r="C580" s="21"/>
      <c r="D580" s="23"/>
      <c r="E580" s="24">
        <v>2.15</v>
      </c>
      <c r="F580" s="30">
        <f t="shared" si="85"/>
        <v>0</v>
      </c>
      <c r="G580" s="23"/>
      <c r="H580" s="31"/>
      <c r="I580" s="30">
        <f t="shared" si="88"/>
        <v>0</v>
      </c>
      <c r="J580" s="23"/>
      <c r="K580" s="32">
        <v>0.29189999999999999</v>
      </c>
      <c r="L580" s="30">
        <f t="shared" si="86"/>
        <v>0</v>
      </c>
      <c r="M580" s="23"/>
      <c r="N580" s="33"/>
      <c r="O580" s="30">
        <f t="shared" si="89"/>
        <v>0</v>
      </c>
    </row>
    <row r="581" spans="2:15" x14ac:dyDescent="0.2">
      <c r="B581" s="21" t="s">
        <v>83</v>
      </c>
      <c r="C581" s="21"/>
      <c r="D581" s="23"/>
      <c r="E581" s="24">
        <v>2.78</v>
      </c>
      <c r="F581" s="30">
        <f t="shared" si="85"/>
        <v>0</v>
      </c>
      <c r="G581" s="23"/>
      <c r="H581" s="31"/>
      <c r="I581" s="30">
        <f t="shared" si="88"/>
        <v>0</v>
      </c>
      <c r="J581" s="23"/>
      <c r="K581" s="32">
        <v>0.45600000000000002</v>
      </c>
      <c r="L581" s="30">
        <f t="shared" si="86"/>
        <v>0</v>
      </c>
      <c r="M581" s="23"/>
      <c r="N581" s="33"/>
      <c r="O581" s="30">
        <f t="shared" si="89"/>
        <v>0</v>
      </c>
    </row>
    <row r="582" spans="2:15" x14ac:dyDescent="0.2">
      <c r="B582" s="21" t="s">
        <v>84</v>
      </c>
      <c r="C582" s="21"/>
      <c r="D582" s="23"/>
      <c r="E582" s="24">
        <v>3.72</v>
      </c>
      <c r="F582" s="30">
        <f t="shared" si="85"/>
        <v>0</v>
      </c>
      <c r="G582" s="23"/>
      <c r="H582" s="31"/>
      <c r="I582" s="30">
        <f t="shared" si="88"/>
        <v>0</v>
      </c>
      <c r="J582" s="23"/>
      <c r="K582" s="32">
        <v>0.65669999999999995</v>
      </c>
      <c r="L582" s="30">
        <f t="shared" si="86"/>
        <v>0</v>
      </c>
      <c r="M582" s="23"/>
      <c r="N582" s="33"/>
      <c r="O582" s="30">
        <f t="shared" si="89"/>
        <v>0</v>
      </c>
    </row>
    <row r="583" spans="2:15" x14ac:dyDescent="0.2">
      <c r="B583" s="21" t="s">
        <v>85</v>
      </c>
      <c r="C583" s="21"/>
      <c r="D583" s="23"/>
      <c r="E583" s="24">
        <v>3.95</v>
      </c>
      <c r="F583" s="30">
        <f t="shared" si="85"/>
        <v>0</v>
      </c>
      <c r="G583" s="23"/>
      <c r="H583" s="31"/>
      <c r="I583" s="30">
        <f t="shared" si="88"/>
        <v>0</v>
      </c>
      <c r="J583" s="23"/>
      <c r="K583" s="32">
        <v>0.73170000000000002</v>
      </c>
      <c r="L583" s="30">
        <f t="shared" si="86"/>
        <v>0</v>
      </c>
      <c r="M583" s="23"/>
      <c r="N583" s="33"/>
      <c r="O583" s="30">
        <f t="shared" si="89"/>
        <v>0</v>
      </c>
    </row>
    <row r="584" spans="2:15" x14ac:dyDescent="0.2">
      <c r="B584" s="21" t="s">
        <v>86</v>
      </c>
      <c r="C584" s="21"/>
      <c r="D584" s="23"/>
      <c r="E584" s="24">
        <v>4.16</v>
      </c>
      <c r="F584" s="30">
        <f t="shared" si="85"/>
        <v>0</v>
      </c>
      <c r="G584" s="23"/>
      <c r="H584" s="31"/>
      <c r="I584" s="30">
        <f t="shared" si="88"/>
        <v>0</v>
      </c>
      <c r="J584" s="23"/>
      <c r="K584" s="32">
        <v>0.81069999999999998</v>
      </c>
      <c r="L584" s="30">
        <f t="shared" si="86"/>
        <v>0</v>
      </c>
      <c r="M584" s="23"/>
      <c r="N584" s="33"/>
      <c r="O584" s="30">
        <f t="shared" si="89"/>
        <v>0</v>
      </c>
    </row>
    <row r="585" spans="2:15" ht="13.5" thickBot="1" x14ac:dyDescent="0.25">
      <c r="B585" s="34" t="s">
        <v>87</v>
      </c>
      <c r="C585" s="34"/>
      <c r="D585" s="23"/>
      <c r="E585" s="24">
        <v>4.3600000000000003</v>
      </c>
      <c r="F585" s="30">
        <f t="shared" si="85"/>
        <v>0</v>
      </c>
      <c r="G585" s="23"/>
      <c r="H585" s="31"/>
      <c r="I585" s="30">
        <f t="shared" si="88"/>
        <v>0</v>
      </c>
      <c r="J585" s="23"/>
      <c r="K585" s="32">
        <v>0.89380000000000004</v>
      </c>
      <c r="L585" s="30">
        <f t="shared" si="86"/>
        <v>0</v>
      </c>
      <c r="M585" s="23"/>
      <c r="N585" s="33"/>
      <c r="O585" s="30">
        <f t="shared" si="89"/>
        <v>0</v>
      </c>
    </row>
    <row r="586" spans="2:15" ht="16.5" thickBot="1" x14ac:dyDescent="0.3">
      <c r="B586" s="36"/>
      <c r="C586" s="37">
        <f>SUM(C567:C585)</f>
        <v>24033.56</v>
      </c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2:15" ht="13.5" thickBot="1" x14ac:dyDescent="0.25">
      <c r="B587" s="23"/>
      <c r="C587" s="38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2:15" ht="16.5" thickBot="1" x14ac:dyDescent="0.3">
      <c r="B588" s="23"/>
      <c r="C588" s="39" t="s">
        <v>88</v>
      </c>
      <c r="D588" s="40"/>
      <c r="E588" s="41" t="s">
        <v>89</v>
      </c>
      <c r="F588" s="37">
        <f>SUM(F567:F586)</f>
        <v>15797.263900000002</v>
      </c>
      <c r="G588" s="42"/>
      <c r="H588" s="43" t="s">
        <v>90</v>
      </c>
      <c r="I588" s="37">
        <f>SUM(I567:I586)</f>
        <v>1442.0136</v>
      </c>
      <c r="J588" s="44"/>
      <c r="K588" s="41" t="s">
        <v>91</v>
      </c>
      <c r="L588" s="37">
        <f>SUM(L567:L586)</f>
        <v>171.96184099999999</v>
      </c>
      <c r="M588" s="44"/>
      <c r="N588" s="41" t="s">
        <v>92</v>
      </c>
      <c r="O588" s="37">
        <f>(SUM(O567:O586)/6)*0.25</f>
        <v>23.104608758333338</v>
      </c>
    </row>
    <row r="589" spans="2:15" ht="13.5" thickBot="1" x14ac:dyDescent="0.25">
      <c r="B589" s="23"/>
      <c r="C589" s="23"/>
      <c r="D589" s="23"/>
      <c r="E589" s="23"/>
      <c r="F589" s="45"/>
      <c r="G589" s="45"/>
      <c r="H589" s="45"/>
      <c r="I589" s="45"/>
      <c r="J589" s="23"/>
      <c r="K589" s="23"/>
      <c r="L589" s="23"/>
      <c r="M589" s="23"/>
      <c r="N589" s="23"/>
      <c r="O589" s="23"/>
    </row>
    <row r="590" spans="2:15" ht="16.5" thickBot="1" x14ac:dyDescent="0.3">
      <c r="B590" s="23"/>
      <c r="C590" s="46" t="s">
        <v>93</v>
      </c>
      <c r="D590" s="47"/>
      <c r="E590" s="47"/>
      <c r="F590" s="47"/>
      <c r="G590" s="47"/>
      <c r="H590" s="47"/>
      <c r="I590" s="48">
        <f>(F588-I588-L588)*0.95</f>
        <v>13474.124036050001</v>
      </c>
      <c r="J590" s="23"/>
      <c r="K590" s="23"/>
      <c r="L590" s="23"/>
      <c r="M590" s="23"/>
      <c r="N590" s="23"/>
      <c r="O590" s="23"/>
    </row>
    <row r="591" spans="2:15" ht="13.5" thickBot="1" x14ac:dyDescent="0.25">
      <c r="B591" s="23"/>
      <c r="C591" s="23"/>
      <c r="D591" s="23"/>
      <c r="E591" s="23"/>
      <c r="F591" s="45"/>
      <c r="G591" s="45"/>
      <c r="H591" s="45"/>
      <c r="I591" s="45"/>
      <c r="J591" s="23"/>
      <c r="K591" s="23"/>
      <c r="L591" s="23"/>
      <c r="M591" s="23"/>
      <c r="N591" s="23"/>
      <c r="O591" s="23"/>
    </row>
    <row r="592" spans="2:15" ht="16.5" thickBot="1" x14ac:dyDescent="0.3">
      <c r="B592" s="23"/>
      <c r="C592" s="46" t="s">
        <v>94</v>
      </c>
      <c r="D592" s="49"/>
      <c r="E592" s="49"/>
      <c r="F592" s="49"/>
      <c r="G592" s="49"/>
      <c r="H592" s="49"/>
      <c r="I592" s="48">
        <f>((F588-I590)*1.2)</f>
        <v>2787.7678367400003</v>
      </c>
      <c r="J592" s="23"/>
      <c r="K592" s="23">
        <f>+I592</f>
        <v>2787.7678367400003</v>
      </c>
      <c r="L592" s="23"/>
      <c r="M592" s="23"/>
      <c r="N592" s="23"/>
      <c r="O592" s="23"/>
    </row>
    <row r="593" spans="2:15" x14ac:dyDescent="0.2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2:15" ht="18" x14ac:dyDescent="0.25">
      <c r="B594" s="23"/>
      <c r="C594" s="1567" t="s">
        <v>95</v>
      </c>
      <c r="D594" s="1567"/>
      <c r="E594" s="1567"/>
      <c r="F594" s="1567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2:15" ht="13.5" thickBot="1" x14ac:dyDescent="0.25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2:15" ht="13.5" thickBot="1" x14ac:dyDescent="0.25">
      <c r="B596" s="45"/>
      <c r="C596" s="50" t="s">
        <v>96</v>
      </c>
      <c r="D596" s="45"/>
      <c r="E596" s="50" t="s">
        <v>97</v>
      </c>
      <c r="F596" s="51" t="s">
        <v>98</v>
      </c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2:15" x14ac:dyDescent="0.2">
      <c r="B597" s="21" t="s">
        <v>71</v>
      </c>
      <c r="C597" s="25"/>
      <c r="D597" s="45"/>
      <c r="E597" s="52">
        <v>0.02</v>
      </c>
      <c r="F597" s="53">
        <f>(E597*C597)+C597</f>
        <v>0</v>
      </c>
      <c r="G597" s="23"/>
      <c r="H597" s="23"/>
      <c r="I597" s="23">
        <f>+F588*0.35</f>
        <v>5529.0423650000002</v>
      </c>
      <c r="J597" s="23"/>
      <c r="K597" s="23"/>
      <c r="L597" s="62" t="s">
        <v>100</v>
      </c>
      <c r="M597" s="63"/>
      <c r="N597" s="23"/>
      <c r="O597" s="23"/>
    </row>
    <row r="598" spans="2:15" x14ac:dyDescent="0.2">
      <c r="B598" s="21" t="s">
        <v>72</v>
      </c>
      <c r="C598" s="25">
        <v>10788.08</v>
      </c>
      <c r="D598" s="45"/>
      <c r="E598" s="54">
        <v>0.02</v>
      </c>
      <c r="F598" s="55">
        <f>(E598*C598)+C598</f>
        <v>11003.8416</v>
      </c>
      <c r="G598" s="23"/>
      <c r="H598" s="23"/>
      <c r="I598" s="23">
        <f>+F588*0.35</f>
        <v>5529.0423650000002</v>
      </c>
      <c r="J598" s="23"/>
      <c r="K598" s="23">
        <f>+F588*0.3</f>
        <v>4739.1791700000003</v>
      </c>
      <c r="L598" s="64">
        <f>+K598*1.2</f>
        <v>5687.0150039999999</v>
      </c>
      <c r="M598" s="65"/>
      <c r="N598" s="23"/>
      <c r="O598" s="23"/>
    </row>
    <row r="599" spans="2:15" x14ac:dyDescent="0.2">
      <c r="B599" s="21" t="s">
        <v>73</v>
      </c>
      <c r="C599" s="25">
        <f>C571</f>
        <v>17544.990000000002</v>
      </c>
      <c r="D599" s="45"/>
      <c r="E599" s="54">
        <v>0.02</v>
      </c>
      <c r="F599" s="55">
        <f>(E599*C599)+C599</f>
        <v>17895.889800000001</v>
      </c>
      <c r="G599" s="23"/>
      <c r="H599" s="23"/>
      <c r="I599" s="23">
        <f>+F588*0.3</f>
        <v>4739.1791700000003</v>
      </c>
      <c r="J599" s="23"/>
      <c r="K599" s="23"/>
      <c r="L599" s="62" t="s">
        <v>101</v>
      </c>
      <c r="M599" s="63"/>
      <c r="N599" s="23"/>
      <c r="O599" s="23"/>
    </row>
    <row r="600" spans="2:15" x14ac:dyDescent="0.2">
      <c r="B600" s="21" t="s">
        <v>74</v>
      </c>
      <c r="C600" s="25">
        <f>C572</f>
        <v>0</v>
      </c>
      <c r="D600" s="45"/>
      <c r="E600" s="54">
        <v>0.03</v>
      </c>
      <c r="F600" s="55">
        <f>(E600*C600)+C600</f>
        <v>0</v>
      </c>
      <c r="G600" s="23"/>
      <c r="H600" s="23"/>
      <c r="I600" s="23"/>
      <c r="J600" s="23"/>
      <c r="K600" s="23"/>
      <c r="L600" s="64">
        <f>+I592+L598</f>
        <v>8474.7828407400011</v>
      </c>
      <c r="M600" s="65"/>
      <c r="N600" s="23"/>
      <c r="O600" s="23"/>
    </row>
    <row r="601" spans="2:15" x14ac:dyDescent="0.2">
      <c r="B601" s="21" t="s">
        <v>75</v>
      </c>
      <c r="C601" s="25">
        <f>C573</f>
        <v>0</v>
      </c>
      <c r="D601" s="45"/>
      <c r="E601" s="54">
        <v>0.03</v>
      </c>
      <c r="F601" s="55">
        <f>C601*E601+C601</f>
        <v>0</v>
      </c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2:15" x14ac:dyDescent="0.2">
      <c r="B602" s="21" t="s">
        <v>76</v>
      </c>
      <c r="C602" s="25">
        <f t="shared" ref="C602:C613" si="90">C574</f>
        <v>0</v>
      </c>
      <c r="D602" s="45"/>
      <c r="E602" s="54">
        <v>0.04</v>
      </c>
      <c r="F602" s="55">
        <f t="shared" ref="F602:F613" si="91">(E602*C602)+C602</f>
        <v>0</v>
      </c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2:15" x14ac:dyDescent="0.2">
      <c r="B603" s="21" t="s">
        <v>77</v>
      </c>
      <c r="C603" s="25">
        <f t="shared" si="90"/>
        <v>0</v>
      </c>
      <c r="D603" s="45"/>
      <c r="E603" s="54">
        <v>0.04</v>
      </c>
      <c r="F603" s="55">
        <f t="shared" si="91"/>
        <v>0</v>
      </c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2:15" x14ac:dyDescent="0.2">
      <c r="B604" s="21" t="s">
        <v>78</v>
      </c>
      <c r="C604" s="25">
        <f t="shared" si="90"/>
        <v>0</v>
      </c>
      <c r="D604" s="45"/>
      <c r="E604" s="54">
        <v>0.04</v>
      </c>
      <c r="F604" s="55">
        <f t="shared" si="91"/>
        <v>0</v>
      </c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2:15" x14ac:dyDescent="0.2">
      <c r="B605" s="21" t="s">
        <v>79</v>
      </c>
      <c r="C605" s="25">
        <f t="shared" si="90"/>
        <v>0</v>
      </c>
      <c r="D605" s="45"/>
      <c r="E605" s="54">
        <v>0.05</v>
      </c>
      <c r="F605" s="55">
        <f t="shared" si="91"/>
        <v>0</v>
      </c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2:15" x14ac:dyDescent="0.2">
      <c r="B606" s="21" t="s">
        <v>80</v>
      </c>
      <c r="C606" s="25">
        <f t="shared" si="90"/>
        <v>0</v>
      </c>
      <c r="D606" s="45"/>
      <c r="E606" s="54">
        <v>0.05</v>
      </c>
      <c r="F606" s="55">
        <f t="shared" si="91"/>
        <v>0</v>
      </c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2:15" x14ac:dyDescent="0.2">
      <c r="B607" s="21" t="s">
        <v>81</v>
      </c>
      <c r="C607" s="25">
        <f t="shared" si="90"/>
        <v>0</v>
      </c>
      <c r="D607" s="45"/>
      <c r="E607" s="54">
        <v>0.06</v>
      </c>
      <c r="F607" s="55">
        <f t="shared" si="91"/>
        <v>0</v>
      </c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2:15" x14ac:dyDescent="0.2">
      <c r="B608" s="21" t="s">
        <v>82</v>
      </c>
      <c r="C608" s="25">
        <f t="shared" si="90"/>
        <v>0</v>
      </c>
      <c r="D608" s="45"/>
      <c r="E608" s="54">
        <v>7.0000000000000007E-2</v>
      </c>
      <c r="F608" s="55">
        <f t="shared" si="91"/>
        <v>0</v>
      </c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2:15" x14ac:dyDescent="0.2">
      <c r="B609" s="21" t="s">
        <v>83</v>
      </c>
      <c r="C609" s="25">
        <f t="shared" si="90"/>
        <v>0</v>
      </c>
      <c r="D609" s="45"/>
      <c r="E609" s="54"/>
      <c r="F609" s="55">
        <f t="shared" si="91"/>
        <v>0</v>
      </c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2:15" x14ac:dyDescent="0.2">
      <c r="B610" s="21" t="s">
        <v>84</v>
      </c>
      <c r="C610" s="25">
        <f t="shared" si="90"/>
        <v>0</v>
      </c>
      <c r="D610" s="45"/>
      <c r="E610" s="54"/>
      <c r="F610" s="55">
        <f t="shared" si="91"/>
        <v>0</v>
      </c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2:15" x14ac:dyDescent="0.2">
      <c r="B611" s="21" t="s">
        <v>85</v>
      </c>
      <c r="C611" s="25">
        <f t="shared" si="90"/>
        <v>0</v>
      </c>
      <c r="D611" s="45"/>
      <c r="E611" s="54"/>
      <c r="F611" s="55">
        <f t="shared" si="91"/>
        <v>0</v>
      </c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2:15" x14ac:dyDescent="0.2">
      <c r="B612" s="21" t="s">
        <v>86</v>
      </c>
      <c r="C612" s="25">
        <f t="shared" si="90"/>
        <v>0</v>
      </c>
      <c r="D612" s="45"/>
      <c r="E612" s="54"/>
      <c r="F612" s="55">
        <f t="shared" si="91"/>
        <v>0</v>
      </c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2:15" x14ac:dyDescent="0.2">
      <c r="B613" s="21" t="s">
        <v>87</v>
      </c>
      <c r="C613" s="25">
        <f t="shared" si="90"/>
        <v>0</v>
      </c>
      <c r="D613" s="45"/>
      <c r="E613" s="54"/>
      <c r="F613" s="55">
        <f t="shared" si="91"/>
        <v>0</v>
      </c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2:15" x14ac:dyDescent="0.2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7" spans="2:15" x14ac:dyDescent="0.2">
      <c r="C617" s="61" t="s">
        <v>107</v>
      </c>
      <c r="D617" s="61"/>
      <c r="E617" s="61"/>
    </row>
    <row r="618" spans="2:15" ht="13.5" thickBot="1" x14ac:dyDescent="0.25"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</row>
    <row r="619" spans="2:15" ht="13.5" thickBot="1" x14ac:dyDescent="0.25">
      <c r="B619" s="14"/>
      <c r="C619" s="14"/>
      <c r="D619" s="14"/>
      <c r="E619" s="1565" t="s">
        <v>63</v>
      </c>
      <c r="F619" s="1566"/>
      <c r="G619" s="16"/>
      <c r="H619" s="1565" t="s">
        <v>64</v>
      </c>
      <c r="I619" s="1566"/>
      <c r="J619" s="16"/>
      <c r="K619" s="1565" t="s">
        <v>65</v>
      </c>
      <c r="L619" s="1566"/>
      <c r="M619" s="16"/>
      <c r="N619" s="1565" t="s">
        <v>66</v>
      </c>
      <c r="O619" s="1566"/>
    </row>
    <row r="620" spans="2:15" ht="13.5" thickBot="1" x14ac:dyDescent="0.25">
      <c r="B620" s="14"/>
      <c r="C620" s="17" t="s">
        <v>67</v>
      </c>
      <c r="D620" s="14"/>
      <c r="E620" s="18" t="s">
        <v>68</v>
      </c>
      <c r="F620" s="19" t="s">
        <v>69</v>
      </c>
      <c r="G620" s="16"/>
      <c r="H620" s="18" t="s">
        <v>68</v>
      </c>
      <c r="I620" s="19" t="s">
        <v>69</v>
      </c>
      <c r="J620" s="16"/>
      <c r="K620" s="18" t="s">
        <v>68</v>
      </c>
      <c r="L620" s="19" t="s">
        <v>69</v>
      </c>
      <c r="M620" s="16"/>
      <c r="N620" s="18" t="s">
        <v>68</v>
      </c>
      <c r="O620" s="19" t="s">
        <v>70</v>
      </c>
    </row>
    <row r="621" spans="2:15" x14ac:dyDescent="0.2">
      <c r="B621" s="21" t="s">
        <v>71</v>
      </c>
      <c r="C621" s="22"/>
      <c r="D621" s="23"/>
      <c r="E621" s="24">
        <v>0.63</v>
      </c>
      <c r="F621" s="25">
        <f>+E621*C621</f>
        <v>0</v>
      </c>
      <c r="G621" s="23"/>
      <c r="H621" s="26">
        <v>0.06</v>
      </c>
      <c r="I621" s="25">
        <f t="shared" ref="I621:I622" si="92">+H621*C621</f>
        <v>0</v>
      </c>
      <c r="J621" s="23"/>
      <c r="K621" s="27">
        <v>2E-3</v>
      </c>
      <c r="L621" s="25">
        <f>+K621*C621</f>
        <v>0</v>
      </c>
      <c r="M621" s="23"/>
      <c r="N621" s="28">
        <v>1.388E-2</v>
      </c>
      <c r="O621" s="25">
        <f>+N621*C621</f>
        <v>0</v>
      </c>
    </row>
    <row r="622" spans="2:15" x14ac:dyDescent="0.2">
      <c r="B622" s="21" t="s">
        <v>71</v>
      </c>
      <c r="C622" s="22"/>
      <c r="D622" s="23"/>
      <c r="E622" s="24">
        <v>0.63</v>
      </c>
      <c r="F622" s="25">
        <f t="shared" ref="F622" si="93">+E622*C622</f>
        <v>0</v>
      </c>
      <c r="G622" s="23"/>
      <c r="H622" s="26">
        <v>0.06</v>
      </c>
      <c r="I622" s="25">
        <f t="shared" si="92"/>
        <v>0</v>
      </c>
      <c r="J622" s="23"/>
      <c r="K622" s="27">
        <v>2E-3</v>
      </c>
      <c r="L622" s="25">
        <f t="shared" ref="L622" si="94">+K622*C622</f>
        <v>0</v>
      </c>
      <c r="M622" s="23"/>
      <c r="N622" s="28">
        <v>1.388E-2</v>
      </c>
      <c r="O622" s="25">
        <f t="shared" ref="O622" si="95">+N622*C622</f>
        <v>0</v>
      </c>
    </row>
    <row r="623" spans="2:15" x14ac:dyDescent="0.2">
      <c r="B623" s="21" t="s">
        <v>72</v>
      </c>
      <c r="C623" s="29">
        <v>733.63</v>
      </c>
      <c r="D623" s="23"/>
      <c r="E623" s="24">
        <v>0.65</v>
      </c>
      <c r="F623" s="30">
        <f>+E623*C623</f>
        <v>476.85950000000003</v>
      </c>
      <c r="G623" s="23"/>
      <c r="H623" s="31">
        <v>0.06</v>
      </c>
      <c r="I623" s="30"/>
      <c r="J623" s="23"/>
      <c r="K623" s="32">
        <v>4.5999999999999999E-3</v>
      </c>
      <c r="L623" s="30">
        <f>+K623*C623</f>
        <v>3.374698</v>
      </c>
      <c r="M623" s="23"/>
      <c r="N623" s="33">
        <v>1.7860000000000001E-2</v>
      </c>
      <c r="O623" s="30">
        <f>+N623*C623</f>
        <v>13.102631800000001</v>
      </c>
    </row>
    <row r="624" spans="2:15" x14ac:dyDescent="0.2">
      <c r="B624" s="21" t="s">
        <v>72</v>
      </c>
      <c r="C624" s="29">
        <v>1880.15</v>
      </c>
      <c r="D624" s="23"/>
      <c r="E624" s="24">
        <v>0.65</v>
      </c>
      <c r="F624" s="30">
        <f t="shared" ref="F624:F639" si="96">+E624*C624</f>
        <v>1222.0975000000001</v>
      </c>
      <c r="G624" s="23"/>
      <c r="H624" s="31">
        <v>0.06</v>
      </c>
      <c r="I624" s="30">
        <f t="shared" ref="I624:I625" si="97">+H624*C624</f>
        <v>112.809</v>
      </c>
      <c r="J624" s="23"/>
      <c r="K624" s="32">
        <v>4.5999999999999999E-3</v>
      </c>
      <c r="L624" s="30">
        <f t="shared" ref="L624:L639" si="98">+K624*C624</f>
        <v>8.6486900000000002</v>
      </c>
      <c r="M624" s="23"/>
      <c r="N624" s="33">
        <v>1.7860000000000001E-2</v>
      </c>
      <c r="O624" s="30">
        <f t="shared" ref="O624:O625" si="99">+N624*C624</f>
        <v>33.579479000000006</v>
      </c>
    </row>
    <row r="625" spans="2:15" x14ac:dyDescent="0.2">
      <c r="B625" s="21" t="s">
        <v>73</v>
      </c>
      <c r="C625" s="29"/>
      <c r="D625" s="23"/>
      <c r="E625" s="24">
        <v>0.66</v>
      </c>
      <c r="F625" s="30">
        <f t="shared" si="96"/>
        <v>0</v>
      </c>
      <c r="G625" s="23"/>
      <c r="H625" s="31">
        <v>0.06</v>
      </c>
      <c r="I625" s="30">
        <f t="shared" si="97"/>
        <v>0</v>
      </c>
      <c r="J625" s="23"/>
      <c r="K625" s="32">
        <v>8.0999999999999996E-3</v>
      </c>
      <c r="L625" s="30">
        <f t="shared" si="98"/>
        <v>0</v>
      </c>
      <c r="M625" s="23"/>
      <c r="N625" s="33">
        <v>2.5000000000000001E-2</v>
      </c>
      <c r="O625" s="30">
        <f t="shared" si="99"/>
        <v>0</v>
      </c>
    </row>
    <row r="626" spans="2:15" x14ac:dyDescent="0.2">
      <c r="B626" s="21" t="s">
        <v>74</v>
      </c>
      <c r="C626" s="21"/>
      <c r="D626" s="23"/>
      <c r="E626" s="24">
        <v>0.81</v>
      </c>
      <c r="F626" s="30">
        <f t="shared" si="96"/>
        <v>0</v>
      </c>
      <c r="G626" s="23"/>
      <c r="H626" s="31">
        <v>7.0000000000000007E-2</v>
      </c>
      <c r="I626" s="30"/>
      <c r="J626" s="23"/>
      <c r="K626" s="32">
        <v>1.8200000000000001E-2</v>
      </c>
      <c r="L626" s="30">
        <f t="shared" si="98"/>
        <v>0</v>
      </c>
      <c r="M626" s="23"/>
      <c r="N626" s="33">
        <v>7.8100000000000003E-2</v>
      </c>
      <c r="O626" s="30"/>
    </row>
    <row r="627" spans="2:15" x14ac:dyDescent="0.2">
      <c r="B627" s="21" t="s">
        <v>75</v>
      </c>
      <c r="C627" s="21"/>
      <c r="D627" s="23"/>
      <c r="E627" s="24">
        <v>0.9</v>
      </c>
      <c r="F627" s="30">
        <f t="shared" si="96"/>
        <v>0</v>
      </c>
      <c r="G627" s="23"/>
      <c r="H627" s="31">
        <v>7.4999999999999997E-2</v>
      </c>
      <c r="I627" s="30">
        <f t="shared" ref="I627:I639" si="100">+H627*C627</f>
        <v>0</v>
      </c>
      <c r="J627" s="23"/>
      <c r="K627" s="32">
        <v>3.2399999999999998E-2</v>
      </c>
      <c r="L627" s="30">
        <f t="shared" si="98"/>
        <v>0</v>
      </c>
      <c r="M627" s="23"/>
      <c r="N627" s="33">
        <v>0.156</v>
      </c>
      <c r="O627" s="30">
        <f t="shared" ref="O627:O639" si="101">+N627*C627</f>
        <v>0</v>
      </c>
    </row>
    <row r="628" spans="2:15" x14ac:dyDescent="0.2">
      <c r="B628" s="21" t="s">
        <v>76</v>
      </c>
      <c r="C628" s="21"/>
      <c r="D628" s="23"/>
      <c r="E628" s="24">
        <v>1</v>
      </c>
      <c r="F628" s="30">
        <f t="shared" si="96"/>
        <v>0</v>
      </c>
      <c r="G628" s="23"/>
      <c r="H628" s="31">
        <v>0.08</v>
      </c>
      <c r="I628" s="30">
        <f t="shared" si="100"/>
        <v>0</v>
      </c>
      <c r="J628" s="23"/>
      <c r="K628" s="32">
        <v>5.0700000000000002E-2</v>
      </c>
      <c r="L628" s="30">
        <f t="shared" si="98"/>
        <v>0</v>
      </c>
      <c r="M628" s="23"/>
      <c r="N628" s="33">
        <v>0.23430000000000001</v>
      </c>
      <c r="O628" s="30">
        <f t="shared" si="101"/>
        <v>0</v>
      </c>
    </row>
    <row r="629" spans="2:15" x14ac:dyDescent="0.2">
      <c r="B629" s="21" t="s">
        <v>77</v>
      </c>
      <c r="C629" s="21"/>
      <c r="D629" s="23"/>
      <c r="E629" s="24">
        <v>1.1100000000000001</v>
      </c>
      <c r="F629" s="30">
        <f t="shared" si="96"/>
        <v>0</v>
      </c>
      <c r="G629" s="23"/>
      <c r="H629" s="31">
        <v>8.5000000000000006E-2</v>
      </c>
      <c r="I629" s="30">
        <f t="shared" si="100"/>
        <v>0</v>
      </c>
      <c r="J629" s="23"/>
      <c r="K629" s="32">
        <v>7.2999999999999995E-2</v>
      </c>
      <c r="L629" s="30">
        <f t="shared" si="98"/>
        <v>0</v>
      </c>
      <c r="M629" s="23"/>
      <c r="N629" s="33">
        <v>0.3125</v>
      </c>
      <c r="O629" s="30">
        <f t="shared" si="101"/>
        <v>0</v>
      </c>
    </row>
    <row r="630" spans="2:15" x14ac:dyDescent="0.2">
      <c r="B630" s="21" t="s">
        <v>78</v>
      </c>
      <c r="C630" s="21"/>
      <c r="D630" s="23"/>
      <c r="E630" s="24">
        <v>1.22</v>
      </c>
      <c r="F630" s="30">
        <f t="shared" si="96"/>
        <v>0</v>
      </c>
      <c r="G630" s="23"/>
      <c r="H630" s="31">
        <v>0.09</v>
      </c>
      <c r="I630" s="30">
        <f t="shared" si="100"/>
        <v>0</v>
      </c>
      <c r="J630" s="23"/>
      <c r="K630" s="32">
        <v>9.9299999999999999E-2</v>
      </c>
      <c r="L630" s="30">
        <f t="shared" si="98"/>
        <v>0</v>
      </c>
      <c r="M630" s="23"/>
      <c r="N630" s="33"/>
      <c r="O630" s="30">
        <f t="shared" si="101"/>
        <v>0</v>
      </c>
    </row>
    <row r="631" spans="2:15" x14ac:dyDescent="0.2">
      <c r="B631" s="21" t="s">
        <v>79</v>
      </c>
      <c r="C631" s="21"/>
      <c r="D631" s="23"/>
      <c r="E631" s="24">
        <v>1.4</v>
      </c>
      <c r="F631" s="30">
        <f t="shared" si="96"/>
        <v>0</v>
      </c>
      <c r="G631" s="23"/>
      <c r="H631" s="31">
        <v>0.1</v>
      </c>
      <c r="I631" s="30">
        <f t="shared" si="100"/>
        <v>0</v>
      </c>
      <c r="J631" s="23"/>
      <c r="K631" s="32">
        <v>0.12970000000000001</v>
      </c>
      <c r="L631" s="30">
        <f t="shared" si="98"/>
        <v>0</v>
      </c>
      <c r="M631" s="23"/>
      <c r="N631" s="33">
        <v>0.41660000000000003</v>
      </c>
      <c r="O631" s="30">
        <f t="shared" si="101"/>
        <v>0</v>
      </c>
    </row>
    <row r="632" spans="2:15" x14ac:dyDescent="0.2">
      <c r="B632" s="21" t="s">
        <v>80</v>
      </c>
      <c r="C632" s="21"/>
      <c r="D632" s="23"/>
      <c r="E632" s="24">
        <v>1.67</v>
      </c>
      <c r="F632" s="30">
        <f t="shared" si="96"/>
        <v>0</v>
      </c>
      <c r="G632" s="23"/>
      <c r="H632" s="31">
        <v>0.115</v>
      </c>
      <c r="I632" s="30">
        <f t="shared" si="100"/>
        <v>0</v>
      </c>
      <c r="J632" s="23"/>
      <c r="K632" s="32">
        <v>0.16420000000000001</v>
      </c>
      <c r="L632" s="30">
        <f t="shared" si="98"/>
        <v>0</v>
      </c>
      <c r="M632" s="23"/>
      <c r="N632" s="33"/>
      <c r="O632" s="30">
        <f t="shared" si="101"/>
        <v>0</v>
      </c>
    </row>
    <row r="633" spans="2:15" x14ac:dyDescent="0.2">
      <c r="B633" s="21" t="s">
        <v>81</v>
      </c>
      <c r="C633" s="21"/>
      <c r="D633" s="23"/>
      <c r="E633" s="24">
        <v>1.8</v>
      </c>
      <c r="F633" s="30">
        <f t="shared" si="96"/>
        <v>0</v>
      </c>
      <c r="G633" s="23"/>
      <c r="H633" s="31">
        <v>0.12</v>
      </c>
      <c r="I633" s="30">
        <f t="shared" si="100"/>
        <v>0</v>
      </c>
      <c r="J633" s="23"/>
      <c r="K633" s="32">
        <v>0.20269999999999999</v>
      </c>
      <c r="L633" s="30">
        <f t="shared" si="98"/>
        <v>0</v>
      </c>
      <c r="M633" s="23"/>
      <c r="N633" s="33"/>
      <c r="O633" s="30">
        <f t="shared" si="101"/>
        <v>0</v>
      </c>
    </row>
    <row r="634" spans="2:15" x14ac:dyDescent="0.2">
      <c r="B634" s="21" t="s">
        <v>82</v>
      </c>
      <c r="C634" s="21"/>
      <c r="D634" s="23"/>
      <c r="E634" s="24">
        <v>2.15</v>
      </c>
      <c r="F634" s="30">
        <f t="shared" si="96"/>
        <v>0</v>
      </c>
      <c r="G634" s="23"/>
      <c r="H634" s="31"/>
      <c r="I634" s="30">
        <f t="shared" si="100"/>
        <v>0</v>
      </c>
      <c r="J634" s="23"/>
      <c r="K634" s="32">
        <v>0.29189999999999999</v>
      </c>
      <c r="L634" s="30">
        <f t="shared" si="98"/>
        <v>0</v>
      </c>
      <c r="M634" s="23"/>
      <c r="N634" s="33"/>
      <c r="O634" s="30">
        <f t="shared" si="101"/>
        <v>0</v>
      </c>
    </row>
    <row r="635" spans="2:15" x14ac:dyDescent="0.2">
      <c r="B635" s="21" t="s">
        <v>83</v>
      </c>
      <c r="C635" s="21"/>
      <c r="D635" s="23"/>
      <c r="E635" s="24">
        <v>2.78</v>
      </c>
      <c r="F635" s="30">
        <f t="shared" si="96"/>
        <v>0</v>
      </c>
      <c r="G635" s="23"/>
      <c r="H635" s="31"/>
      <c r="I635" s="30">
        <f t="shared" si="100"/>
        <v>0</v>
      </c>
      <c r="J635" s="23"/>
      <c r="K635" s="32">
        <v>0.45600000000000002</v>
      </c>
      <c r="L635" s="30">
        <f t="shared" si="98"/>
        <v>0</v>
      </c>
      <c r="M635" s="23"/>
      <c r="N635" s="33"/>
      <c r="O635" s="30">
        <f t="shared" si="101"/>
        <v>0</v>
      </c>
    </row>
    <row r="636" spans="2:15" x14ac:dyDescent="0.2">
      <c r="B636" s="21" t="s">
        <v>84</v>
      </c>
      <c r="C636" s="21"/>
      <c r="D636" s="23"/>
      <c r="E636" s="24">
        <v>3.72</v>
      </c>
      <c r="F636" s="30">
        <f t="shared" si="96"/>
        <v>0</v>
      </c>
      <c r="G636" s="23"/>
      <c r="H636" s="31"/>
      <c r="I636" s="30">
        <f t="shared" si="100"/>
        <v>0</v>
      </c>
      <c r="J636" s="23"/>
      <c r="K636" s="32">
        <v>0.65669999999999995</v>
      </c>
      <c r="L636" s="30">
        <f t="shared" si="98"/>
        <v>0</v>
      </c>
      <c r="M636" s="23"/>
      <c r="N636" s="33"/>
      <c r="O636" s="30">
        <f t="shared" si="101"/>
        <v>0</v>
      </c>
    </row>
    <row r="637" spans="2:15" x14ac:dyDescent="0.2">
      <c r="B637" s="21" t="s">
        <v>85</v>
      </c>
      <c r="C637" s="21"/>
      <c r="D637" s="23"/>
      <c r="E637" s="24">
        <v>3.95</v>
      </c>
      <c r="F637" s="30">
        <f t="shared" si="96"/>
        <v>0</v>
      </c>
      <c r="G637" s="23"/>
      <c r="H637" s="31"/>
      <c r="I637" s="30">
        <f t="shared" si="100"/>
        <v>0</v>
      </c>
      <c r="J637" s="23"/>
      <c r="K637" s="32">
        <v>0.73170000000000002</v>
      </c>
      <c r="L637" s="30">
        <f t="shared" si="98"/>
        <v>0</v>
      </c>
      <c r="M637" s="23"/>
      <c r="N637" s="33"/>
      <c r="O637" s="30">
        <f t="shared" si="101"/>
        <v>0</v>
      </c>
    </row>
    <row r="638" spans="2:15" x14ac:dyDescent="0.2">
      <c r="B638" s="21" t="s">
        <v>86</v>
      </c>
      <c r="C638" s="21"/>
      <c r="D638" s="23"/>
      <c r="E638" s="24">
        <v>4.16</v>
      </c>
      <c r="F638" s="30">
        <f t="shared" si="96"/>
        <v>0</v>
      </c>
      <c r="G638" s="23"/>
      <c r="H638" s="31"/>
      <c r="I638" s="30">
        <f t="shared" si="100"/>
        <v>0</v>
      </c>
      <c r="J638" s="23"/>
      <c r="K638" s="32">
        <v>0.81069999999999998</v>
      </c>
      <c r="L638" s="30">
        <f t="shared" si="98"/>
        <v>0</v>
      </c>
      <c r="M638" s="23"/>
      <c r="N638" s="33"/>
      <c r="O638" s="30">
        <f t="shared" si="101"/>
        <v>0</v>
      </c>
    </row>
    <row r="639" spans="2:15" ht="13.5" thickBot="1" x14ac:dyDescent="0.25">
      <c r="B639" s="34" t="s">
        <v>87</v>
      </c>
      <c r="C639" s="34"/>
      <c r="D639" s="23"/>
      <c r="E639" s="24">
        <v>4.3600000000000003</v>
      </c>
      <c r="F639" s="30">
        <f t="shared" si="96"/>
        <v>0</v>
      </c>
      <c r="G639" s="23"/>
      <c r="H639" s="31"/>
      <c r="I639" s="30">
        <f t="shared" si="100"/>
        <v>0</v>
      </c>
      <c r="J639" s="23"/>
      <c r="K639" s="32">
        <v>0.89380000000000004</v>
      </c>
      <c r="L639" s="30">
        <f t="shared" si="98"/>
        <v>0</v>
      </c>
      <c r="M639" s="23"/>
      <c r="N639" s="33"/>
      <c r="O639" s="30">
        <f t="shared" si="101"/>
        <v>0</v>
      </c>
    </row>
    <row r="640" spans="2:15" ht="16.5" thickBot="1" x14ac:dyDescent="0.3">
      <c r="B640" s="36"/>
      <c r="C640" s="37">
        <f>SUM(C621:C639)</f>
        <v>2613.7800000000002</v>
      </c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2:15" ht="13.5" thickBot="1" x14ac:dyDescent="0.25">
      <c r="B641" s="23"/>
      <c r="C641" s="38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2:15" ht="16.5" thickBot="1" x14ac:dyDescent="0.3">
      <c r="B642" s="23"/>
      <c r="C642" s="39" t="s">
        <v>88</v>
      </c>
      <c r="D642" s="40"/>
      <c r="E642" s="41" t="s">
        <v>89</v>
      </c>
      <c r="F642" s="37">
        <f>SUM(F621:F640)</f>
        <v>1698.9570000000001</v>
      </c>
      <c r="G642" s="42"/>
      <c r="H642" s="43" t="s">
        <v>90</v>
      </c>
      <c r="I642" s="37">
        <f>SUM(I621:I640)</f>
        <v>112.809</v>
      </c>
      <c r="J642" s="44"/>
      <c r="K642" s="41" t="s">
        <v>91</v>
      </c>
      <c r="L642" s="37">
        <f>SUM(L621:L640)</f>
        <v>12.023388000000001</v>
      </c>
      <c r="M642" s="44"/>
      <c r="N642" s="41" t="s">
        <v>92</v>
      </c>
      <c r="O642" s="37">
        <f>(SUM(O621:O640)/6)*0.25</f>
        <v>1.9450879500000002</v>
      </c>
    </row>
    <row r="643" spans="2:15" ht="13.5" thickBot="1" x14ac:dyDescent="0.25">
      <c r="B643" s="23"/>
      <c r="C643" s="23"/>
      <c r="D643" s="23"/>
      <c r="E643" s="23"/>
      <c r="F643" s="45"/>
      <c r="G643" s="45"/>
      <c r="H643" s="45"/>
      <c r="I643" s="45"/>
      <c r="J643" s="23"/>
      <c r="K643" s="23"/>
      <c r="L643" s="23"/>
      <c r="M643" s="23"/>
      <c r="N643" s="23"/>
      <c r="O643" s="23"/>
    </row>
    <row r="644" spans="2:15" ht="16.5" thickBot="1" x14ac:dyDescent="0.3">
      <c r="B644" s="23"/>
      <c r="C644" s="46" t="s">
        <v>93</v>
      </c>
      <c r="D644" s="47"/>
      <c r="E644" s="47"/>
      <c r="F644" s="47"/>
      <c r="G644" s="47"/>
      <c r="H644" s="47"/>
      <c r="I644" s="48">
        <f>(F642-I642-L642)*0.95</f>
        <v>1495.4183814</v>
      </c>
      <c r="J644" s="23"/>
      <c r="K644" s="23"/>
      <c r="L644" s="23"/>
      <c r="M644" s="23"/>
      <c r="N644" s="23"/>
      <c r="O644" s="23"/>
    </row>
    <row r="645" spans="2:15" ht="13.5" thickBot="1" x14ac:dyDescent="0.25">
      <c r="B645" s="23"/>
      <c r="C645" s="23"/>
      <c r="D645" s="23"/>
      <c r="E645" s="23"/>
      <c r="F645" s="45"/>
      <c r="G645" s="45"/>
      <c r="H645" s="45"/>
      <c r="I645" s="45"/>
      <c r="J645" s="23"/>
      <c r="K645" s="23"/>
      <c r="L645" s="23"/>
      <c r="M645" s="23"/>
      <c r="N645" s="23"/>
      <c r="O645" s="23"/>
    </row>
    <row r="646" spans="2:15" ht="16.5" thickBot="1" x14ac:dyDescent="0.3">
      <c r="B646" s="23"/>
      <c r="C646" s="46" t="s">
        <v>94</v>
      </c>
      <c r="D646" s="49"/>
      <c r="E646" s="49"/>
      <c r="F646" s="49"/>
      <c r="G646" s="49"/>
      <c r="H646" s="49"/>
      <c r="I646" s="48">
        <f>((F642-I644)*1.2)</f>
        <v>244.24634232000005</v>
      </c>
      <c r="J646" s="23"/>
      <c r="K646" s="23">
        <f>+I646</f>
        <v>244.24634232000005</v>
      </c>
      <c r="L646" s="23"/>
      <c r="M646" s="23"/>
      <c r="N646" s="23"/>
      <c r="O646" s="23"/>
    </row>
    <row r="647" spans="2:15" x14ac:dyDescent="0.2"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2:15" ht="18" x14ac:dyDescent="0.25">
      <c r="B648" s="23"/>
      <c r="C648" s="1567" t="s">
        <v>95</v>
      </c>
      <c r="D648" s="1567"/>
      <c r="E648" s="1567"/>
      <c r="F648" s="1567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2:15" ht="13.5" thickBot="1" x14ac:dyDescent="0.25"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2:15" ht="13.5" thickBot="1" x14ac:dyDescent="0.25">
      <c r="B650" s="45"/>
      <c r="C650" s="50" t="s">
        <v>96</v>
      </c>
      <c r="D650" s="45"/>
      <c r="E650" s="50" t="s">
        <v>97</v>
      </c>
      <c r="F650" s="51" t="s">
        <v>98</v>
      </c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2:15" x14ac:dyDescent="0.2">
      <c r="B651" s="21" t="s">
        <v>71</v>
      </c>
      <c r="C651" s="25"/>
      <c r="D651" s="45"/>
      <c r="E651" s="52">
        <v>0.02</v>
      </c>
      <c r="F651" s="53">
        <f>(E651*C651)+C651</f>
        <v>0</v>
      </c>
      <c r="G651" s="23"/>
      <c r="H651" s="23"/>
      <c r="I651" s="23">
        <f>+F642*0.35</f>
        <v>594.63495</v>
      </c>
      <c r="J651" s="23"/>
      <c r="K651" s="23"/>
      <c r="L651" s="62" t="s">
        <v>100</v>
      </c>
      <c r="M651" s="63"/>
      <c r="N651" s="23"/>
      <c r="O651" s="23"/>
    </row>
    <row r="652" spans="2:15" x14ac:dyDescent="0.2">
      <c r="B652" s="21" t="s">
        <v>72</v>
      </c>
      <c r="C652" s="25">
        <f>+C624</f>
        <v>1880.15</v>
      </c>
      <c r="D652" s="45"/>
      <c r="E652" s="54">
        <v>0.02</v>
      </c>
      <c r="F652" s="55">
        <f>(E652*C652)+C652</f>
        <v>1917.7530000000002</v>
      </c>
      <c r="G652" s="23"/>
      <c r="H652" s="23"/>
      <c r="I652" s="23">
        <f>+F642*0.35</f>
        <v>594.63495</v>
      </c>
      <c r="J652" s="23"/>
      <c r="K652" s="23">
        <f>+F642*0.3</f>
        <v>509.68709999999999</v>
      </c>
      <c r="L652" s="64">
        <f>+K652*1.2</f>
        <v>611.62451999999996</v>
      </c>
      <c r="M652" s="65"/>
      <c r="N652" s="23"/>
      <c r="O652" s="23"/>
    </row>
    <row r="653" spans="2:15" x14ac:dyDescent="0.2">
      <c r="B653" s="21" t="s">
        <v>73</v>
      </c>
      <c r="C653" s="25">
        <f>C625</f>
        <v>0</v>
      </c>
      <c r="D653" s="45"/>
      <c r="E653" s="54">
        <v>0.02</v>
      </c>
      <c r="F653" s="55">
        <f>(E653*C653)+C653</f>
        <v>0</v>
      </c>
      <c r="G653" s="23"/>
      <c r="H653" s="23"/>
      <c r="I653" s="23">
        <f>+F642*0.3</f>
        <v>509.68709999999999</v>
      </c>
      <c r="J653" s="23"/>
      <c r="K653" s="23"/>
      <c r="L653" s="62" t="s">
        <v>101</v>
      </c>
      <c r="M653" s="63"/>
      <c r="N653" s="23"/>
      <c r="O653" s="23"/>
    </row>
    <row r="654" spans="2:15" x14ac:dyDescent="0.2">
      <c r="B654" s="21" t="s">
        <v>74</v>
      </c>
      <c r="C654" s="25">
        <f>C626</f>
        <v>0</v>
      </c>
      <c r="D654" s="45"/>
      <c r="E654" s="54">
        <v>0.03</v>
      </c>
      <c r="F654" s="55">
        <f>(E654*C654)+C654</f>
        <v>0</v>
      </c>
      <c r="G654" s="23"/>
      <c r="H654" s="23"/>
      <c r="I654" s="23"/>
      <c r="J654" s="23"/>
      <c r="K654" s="23"/>
      <c r="L654" s="64">
        <f>+I646+L652</f>
        <v>855.87086232000001</v>
      </c>
      <c r="M654" s="65"/>
      <c r="N654" s="23"/>
      <c r="O654" s="23"/>
    </row>
    <row r="655" spans="2:15" x14ac:dyDescent="0.2">
      <c r="B655" s="21" t="s">
        <v>75</v>
      </c>
      <c r="C655" s="25">
        <f>C627</f>
        <v>0</v>
      </c>
      <c r="D655" s="45"/>
      <c r="E655" s="54">
        <v>0.03</v>
      </c>
      <c r="F655" s="55">
        <f>C655*E655+C655</f>
        <v>0</v>
      </c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2:15" x14ac:dyDescent="0.2">
      <c r="B656" s="21" t="s">
        <v>76</v>
      </c>
      <c r="C656" s="25">
        <f t="shared" ref="C656:C667" si="102">C628</f>
        <v>0</v>
      </c>
      <c r="D656" s="45"/>
      <c r="E656" s="54">
        <v>0.04</v>
      </c>
      <c r="F656" s="55">
        <f t="shared" ref="F656:F667" si="103">(E656*C656)+C656</f>
        <v>0</v>
      </c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6" x14ac:dyDescent="0.2">
      <c r="B657" s="21" t="s">
        <v>77</v>
      </c>
      <c r="C657" s="25">
        <f t="shared" si="102"/>
        <v>0</v>
      </c>
      <c r="D657" s="45"/>
      <c r="E657" s="54">
        <v>0.04</v>
      </c>
      <c r="F657" s="55">
        <f t="shared" si="103"/>
        <v>0</v>
      </c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6" x14ac:dyDescent="0.2">
      <c r="B658" s="21" t="s">
        <v>78</v>
      </c>
      <c r="C658" s="25">
        <f t="shared" si="102"/>
        <v>0</v>
      </c>
      <c r="D658" s="45"/>
      <c r="E658" s="54">
        <v>0.04</v>
      </c>
      <c r="F658" s="55">
        <f t="shared" si="103"/>
        <v>0</v>
      </c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6" x14ac:dyDescent="0.2">
      <c r="B659" s="21" t="s">
        <v>79</v>
      </c>
      <c r="C659" s="25">
        <f t="shared" si="102"/>
        <v>0</v>
      </c>
      <c r="D659" s="45"/>
      <c r="E659" s="54">
        <v>0.05</v>
      </c>
      <c r="F659" s="55">
        <f t="shared" si="103"/>
        <v>0</v>
      </c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6" x14ac:dyDescent="0.2">
      <c r="B660" s="21" t="s">
        <v>80</v>
      </c>
      <c r="C660" s="25">
        <f t="shared" si="102"/>
        <v>0</v>
      </c>
      <c r="D660" s="45"/>
      <c r="E660" s="54">
        <v>0.05</v>
      </c>
      <c r="F660" s="55">
        <f t="shared" si="103"/>
        <v>0</v>
      </c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6" x14ac:dyDescent="0.2">
      <c r="B661" s="21" t="s">
        <v>81</v>
      </c>
      <c r="C661" s="25">
        <f t="shared" si="102"/>
        <v>0</v>
      </c>
      <c r="D661" s="45"/>
      <c r="E661" s="54">
        <v>0.06</v>
      </c>
      <c r="F661" s="55">
        <f t="shared" si="103"/>
        <v>0</v>
      </c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6" x14ac:dyDescent="0.2">
      <c r="B662" s="21" t="s">
        <v>82</v>
      </c>
      <c r="C662" s="25">
        <f t="shared" si="102"/>
        <v>0</v>
      </c>
      <c r="D662" s="45"/>
      <c r="E662" s="54">
        <v>7.0000000000000007E-2</v>
      </c>
      <c r="F662" s="55">
        <f t="shared" si="103"/>
        <v>0</v>
      </c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6" x14ac:dyDescent="0.2">
      <c r="B663" s="21" t="s">
        <v>83</v>
      </c>
      <c r="C663" s="25">
        <f t="shared" si="102"/>
        <v>0</v>
      </c>
      <c r="D663" s="45"/>
      <c r="E663" s="54"/>
      <c r="F663" s="55">
        <f t="shared" si="103"/>
        <v>0</v>
      </c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6" x14ac:dyDescent="0.2">
      <c r="B664" s="21" t="s">
        <v>84</v>
      </c>
      <c r="C664" s="25">
        <f t="shared" si="102"/>
        <v>0</v>
      </c>
      <c r="D664" s="45"/>
      <c r="E664" s="54"/>
      <c r="F664" s="55">
        <f t="shared" si="103"/>
        <v>0</v>
      </c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6" x14ac:dyDescent="0.2">
      <c r="B665" s="21" t="s">
        <v>85</v>
      </c>
      <c r="C665" s="25">
        <f t="shared" si="102"/>
        <v>0</v>
      </c>
      <c r="D665" s="45"/>
      <c r="E665" s="54"/>
      <c r="F665" s="55">
        <f t="shared" si="103"/>
        <v>0</v>
      </c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6" x14ac:dyDescent="0.2">
      <c r="B666" s="21" t="s">
        <v>86</v>
      </c>
      <c r="C666" s="25">
        <f t="shared" si="102"/>
        <v>0</v>
      </c>
      <c r="D666" s="45"/>
      <c r="E666" s="54"/>
      <c r="F666" s="55">
        <f t="shared" si="103"/>
        <v>0</v>
      </c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6" x14ac:dyDescent="0.2">
      <c r="B667" s="21" t="s">
        <v>87</v>
      </c>
      <c r="C667" s="25">
        <f t="shared" si="102"/>
        <v>0</v>
      </c>
      <c r="D667" s="45"/>
      <c r="E667" s="54"/>
      <c r="F667" s="55">
        <f t="shared" si="103"/>
        <v>0</v>
      </c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6" x14ac:dyDescent="0.2"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71" spans="1:16" x14ac:dyDescent="0.2">
      <c r="A671" s="722"/>
      <c r="B671" s="722"/>
      <c r="C671" s="864" t="s">
        <v>608</v>
      </c>
      <c r="D671" s="61"/>
      <c r="E671" s="61"/>
      <c r="F671" s="722"/>
      <c r="G671" s="722"/>
      <c r="H671" s="722"/>
      <c r="I671" s="722"/>
      <c r="J671" s="722"/>
      <c r="K671" s="722"/>
      <c r="L671" s="722"/>
      <c r="M671" s="722"/>
      <c r="N671" s="722"/>
      <c r="O671" s="722"/>
      <c r="P671" s="722"/>
    </row>
    <row r="672" spans="1:16" ht="13.5" thickBot="1" x14ac:dyDescent="0.25">
      <c r="A672" s="722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722"/>
    </row>
    <row r="673" spans="1:16" ht="13.5" thickBot="1" x14ac:dyDescent="0.25">
      <c r="A673" s="722"/>
      <c r="B673" s="14"/>
      <c r="C673" s="14"/>
      <c r="D673" s="14"/>
      <c r="E673" s="1565" t="s">
        <v>63</v>
      </c>
      <c r="F673" s="1566"/>
      <c r="G673" s="16"/>
      <c r="H673" s="1565" t="s">
        <v>64</v>
      </c>
      <c r="I673" s="1566"/>
      <c r="J673" s="16"/>
      <c r="K673" s="1565" t="s">
        <v>65</v>
      </c>
      <c r="L673" s="1566"/>
      <c r="M673" s="16"/>
      <c r="N673" s="1565" t="s">
        <v>66</v>
      </c>
      <c r="O673" s="1566"/>
      <c r="P673" s="722"/>
    </row>
    <row r="674" spans="1:16" ht="13.5" thickBot="1" x14ac:dyDescent="0.25">
      <c r="A674" s="722"/>
      <c r="B674" s="14"/>
      <c r="C674" s="17" t="s">
        <v>67</v>
      </c>
      <c r="D674" s="14"/>
      <c r="E674" s="18" t="s">
        <v>68</v>
      </c>
      <c r="F674" s="19" t="s">
        <v>69</v>
      </c>
      <c r="G674" s="16"/>
      <c r="H674" s="18" t="s">
        <v>68</v>
      </c>
      <c r="I674" s="19" t="s">
        <v>69</v>
      </c>
      <c r="J674" s="16"/>
      <c r="K674" s="18" t="s">
        <v>68</v>
      </c>
      <c r="L674" s="19" t="s">
        <v>69</v>
      </c>
      <c r="M674" s="16"/>
      <c r="N674" s="18" t="s">
        <v>68</v>
      </c>
      <c r="O674" s="19" t="s">
        <v>70</v>
      </c>
      <c r="P674" s="722"/>
    </row>
    <row r="675" spans="1:16" x14ac:dyDescent="0.2">
      <c r="A675" s="722"/>
      <c r="B675" s="21" t="s">
        <v>71</v>
      </c>
      <c r="C675" s="22"/>
      <c r="D675" s="23"/>
      <c r="E675" s="24">
        <v>0.63</v>
      </c>
      <c r="F675" s="25">
        <f>+E675*C675</f>
        <v>0</v>
      </c>
      <c r="G675" s="23"/>
      <c r="H675" s="26">
        <v>0.06</v>
      </c>
      <c r="I675" s="25">
        <f t="shared" ref="I675:I676" si="104">+H675*C675</f>
        <v>0</v>
      </c>
      <c r="J675" s="23"/>
      <c r="K675" s="27">
        <v>2E-3</v>
      </c>
      <c r="L675" s="25">
        <f>+K675*C675</f>
        <v>0</v>
      </c>
      <c r="M675" s="23"/>
      <c r="N675" s="28">
        <v>1.388E-2</v>
      </c>
      <c r="O675" s="25">
        <f>+N675*C675</f>
        <v>0</v>
      </c>
      <c r="P675" s="722"/>
    </row>
    <row r="676" spans="1:16" x14ac:dyDescent="0.2">
      <c r="A676" s="722"/>
      <c r="B676" s="21" t="s">
        <v>71</v>
      </c>
      <c r="C676" s="22"/>
      <c r="D676" s="23"/>
      <c r="E676" s="24">
        <v>0.63</v>
      </c>
      <c r="F676" s="25">
        <f t="shared" ref="F676" si="105">+E676*C676</f>
        <v>0</v>
      </c>
      <c r="G676" s="23"/>
      <c r="H676" s="26">
        <v>0.06</v>
      </c>
      <c r="I676" s="25">
        <f t="shared" si="104"/>
        <v>0</v>
      </c>
      <c r="J676" s="23"/>
      <c r="K676" s="27">
        <v>2E-3</v>
      </c>
      <c r="L676" s="25">
        <f t="shared" ref="L676" si="106">+K676*C676</f>
        <v>0</v>
      </c>
      <c r="M676" s="23"/>
      <c r="N676" s="28">
        <v>1.388E-2</v>
      </c>
      <c r="O676" s="25">
        <f t="shared" ref="O676" si="107">+N676*C676</f>
        <v>0</v>
      </c>
      <c r="P676" s="722"/>
    </row>
    <row r="677" spans="1:16" x14ac:dyDescent="0.2">
      <c r="A677" s="722"/>
      <c r="B677" s="21" t="s">
        <v>72</v>
      </c>
      <c r="C677" s="29"/>
      <c r="D677" s="23"/>
      <c r="E677" s="24">
        <v>0.65</v>
      </c>
      <c r="F677" s="30">
        <f>+E677*C677</f>
        <v>0</v>
      </c>
      <c r="G677" s="23"/>
      <c r="H677" s="31">
        <v>0.06</v>
      </c>
      <c r="I677" s="30"/>
      <c r="J677" s="23"/>
      <c r="K677" s="32">
        <v>4.5999999999999999E-3</v>
      </c>
      <c r="L677" s="30">
        <f>+K677*C677</f>
        <v>0</v>
      </c>
      <c r="M677" s="23"/>
      <c r="N677" s="33">
        <v>1.7860000000000001E-2</v>
      </c>
      <c r="O677" s="30">
        <f>+N677*C677</f>
        <v>0</v>
      </c>
      <c r="P677" s="722"/>
    </row>
    <row r="678" spans="1:16" x14ac:dyDescent="0.2">
      <c r="A678" s="722"/>
      <c r="B678" s="21" t="s">
        <v>72</v>
      </c>
      <c r="C678" s="29"/>
      <c r="D678" s="23"/>
      <c r="E678" s="24">
        <v>0.65</v>
      </c>
      <c r="F678" s="30">
        <f t="shared" ref="F678:F693" si="108">+E678*C678</f>
        <v>0</v>
      </c>
      <c r="G678" s="23"/>
      <c r="H678" s="31">
        <v>0.06</v>
      </c>
      <c r="I678" s="30">
        <f t="shared" ref="I678:I679" si="109">+H678*C678</f>
        <v>0</v>
      </c>
      <c r="J678" s="23"/>
      <c r="K678" s="32">
        <v>4.5999999999999999E-3</v>
      </c>
      <c r="L678" s="30">
        <f t="shared" ref="L678:L693" si="110">+K678*C678</f>
        <v>0</v>
      </c>
      <c r="M678" s="23"/>
      <c r="N678" s="33">
        <v>1.7860000000000001E-2</v>
      </c>
      <c r="O678" s="30">
        <f t="shared" ref="O678:O679" si="111">+N678*C678</f>
        <v>0</v>
      </c>
      <c r="P678" s="722"/>
    </row>
    <row r="679" spans="1:16" x14ac:dyDescent="0.2">
      <c r="A679" s="722"/>
      <c r="B679" s="21" t="s">
        <v>73</v>
      </c>
      <c r="C679" s="29"/>
      <c r="D679" s="23"/>
      <c r="E679" s="24">
        <v>0.66</v>
      </c>
      <c r="F679" s="30">
        <f t="shared" si="108"/>
        <v>0</v>
      </c>
      <c r="G679" s="23"/>
      <c r="H679" s="31">
        <v>0.06</v>
      </c>
      <c r="I679" s="30">
        <f t="shared" si="109"/>
        <v>0</v>
      </c>
      <c r="J679" s="23"/>
      <c r="K679" s="32">
        <v>8.0999999999999996E-3</v>
      </c>
      <c r="L679" s="30">
        <f t="shared" si="110"/>
        <v>0</v>
      </c>
      <c r="M679" s="23"/>
      <c r="N679" s="33">
        <v>2.5000000000000001E-2</v>
      </c>
      <c r="O679" s="30">
        <f t="shared" si="111"/>
        <v>0</v>
      </c>
      <c r="P679" s="722"/>
    </row>
    <row r="680" spans="1:16" x14ac:dyDescent="0.2">
      <c r="A680" s="722"/>
      <c r="B680" s="21" t="s">
        <v>74</v>
      </c>
      <c r="C680" s="21"/>
      <c r="D680" s="23"/>
      <c r="E680" s="24">
        <v>0.81</v>
      </c>
      <c r="F680" s="30">
        <f t="shared" si="108"/>
        <v>0</v>
      </c>
      <c r="G680" s="23"/>
      <c r="H680" s="31">
        <v>7.0000000000000007E-2</v>
      </c>
      <c r="I680" s="30"/>
      <c r="J680" s="23"/>
      <c r="K680" s="32">
        <v>1.8200000000000001E-2</v>
      </c>
      <c r="L680" s="30">
        <f t="shared" si="110"/>
        <v>0</v>
      </c>
      <c r="M680" s="23"/>
      <c r="N680" s="33">
        <v>7.8100000000000003E-2</v>
      </c>
      <c r="O680" s="30"/>
      <c r="P680" s="722"/>
    </row>
    <row r="681" spans="1:16" x14ac:dyDescent="0.2">
      <c r="A681" s="722"/>
      <c r="B681" s="21" t="s">
        <v>75</v>
      </c>
      <c r="C681" s="21">
        <v>757.96</v>
      </c>
      <c r="D681" s="23"/>
      <c r="E681" s="24">
        <v>0.9</v>
      </c>
      <c r="F681" s="30">
        <f t="shared" si="108"/>
        <v>682.1640000000001</v>
      </c>
      <c r="G681" s="23"/>
      <c r="H681" s="31">
        <v>7.4999999999999997E-2</v>
      </c>
      <c r="I681" s="30">
        <f t="shared" ref="I681:I693" si="112">+H681*C681</f>
        <v>56.847000000000001</v>
      </c>
      <c r="J681" s="23"/>
      <c r="K681" s="32">
        <v>3.2399999999999998E-2</v>
      </c>
      <c r="L681" s="30">
        <f t="shared" si="110"/>
        <v>24.557904000000001</v>
      </c>
      <c r="M681" s="23"/>
      <c r="N681" s="33">
        <v>0.156</v>
      </c>
      <c r="O681" s="30">
        <f t="shared" ref="O681:O693" si="113">+N681*C681</f>
        <v>118.24176</v>
      </c>
      <c r="P681" s="722"/>
    </row>
    <row r="682" spans="1:16" x14ac:dyDescent="0.2">
      <c r="A682" s="722"/>
      <c r="B682" s="21" t="s">
        <v>76</v>
      </c>
      <c r="C682" s="21"/>
      <c r="D682" s="23"/>
      <c r="E682" s="24">
        <v>1</v>
      </c>
      <c r="F682" s="30">
        <f t="shared" si="108"/>
        <v>0</v>
      </c>
      <c r="G682" s="23"/>
      <c r="H682" s="31">
        <v>0.08</v>
      </c>
      <c r="I682" s="30">
        <f t="shared" si="112"/>
        <v>0</v>
      </c>
      <c r="J682" s="23"/>
      <c r="K682" s="32">
        <v>5.0700000000000002E-2</v>
      </c>
      <c r="L682" s="30">
        <f t="shared" si="110"/>
        <v>0</v>
      </c>
      <c r="M682" s="23"/>
      <c r="N682" s="33">
        <v>0.23430000000000001</v>
      </c>
      <c r="O682" s="30">
        <f t="shared" si="113"/>
        <v>0</v>
      </c>
      <c r="P682" s="722"/>
    </row>
    <row r="683" spans="1:16" x14ac:dyDescent="0.2">
      <c r="A683" s="722"/>
      <c r="B683" s="21" t="s">
        <v>77</v>
      </c>
      <c r="C683" s="21"/>
      <c r="D683" s="23"/>
      <c r="E683" s="24">
        <v>1.1100000000000001</v>
      </c>
      <c r="F683" s="30">
        <f t="shared" si="108"/>
        <v>0</v>
      </c>
      <c r="G683" s="23"/>
      <c r="H683" s="31">
        <v>8.5000000000000006E-2</v>
      </c>
      <c r="I683" s="30">
        <f t="shared" si="112"/>
        <v>0</v>
      </c>
      <c r="J683" s="23"/>
      <c r="K683" s="32">
        <v>7.2999999999999995E-2</v>
      </c>
      <c r="L683" s="30">
        <f t="shared" si="110"/>
        <v>0</v>
      </c>
      <c r="M683" s="23"/>
      <c r="N683" s="33">
        <v>0.3125</v>
      </c>
      <c r="O683" s="30">
        <f t="shared" si="113"/>
        <v>0</v>
      </c>
      <c r="P683" s="722"/>
    </row>
    <row r="684" spans="1:16" x14ac:dyDescent="0.2">
      <c r="A684" s="722"/>
      <c r="B684" s="21" t="s">
        <v>78</v>
      </c>
      <c r="C684" s="21"/>
      <c r="D684" s="23"/>
      <c r="E684" s="24">
        <v>1.22</v>
      </c>
      <c r="F684" s="30">
        <f t="shared" si="108"/>
        <v>0</v>
      </c>
      <c r="G684" s="23"/>
      <c r="H684" s="31">
        <v>0.09</v>
      </c>
      <c r="I684" s="30">
        <f t="shared" si="112"/>
        <v>0</v>
      </c>
      <c r="J684" s="23"/>
      <c r="K684" s="32">
        <v>9.9299999999999999E-2</v>
      </c>
      <c r="L684" s="30">
        <f t="shared" si="110"/>
        <v>0</v>
      </c>
      <c r="M684" s="23"/>
      <c r="N684" s="33"/>
      <c r="O684" s="30">
        <f t="shared" si="113"/>
        <v>0</v>
      </c>
      <c r="P684" s="722"/>
    </row>
    <row r="685" spans="1:16" x14ac:dyDescent="0.2">
      <c r="A685" s="722"/>
      <c r="B685" s="21" t="s">
        <v>79</v>
      </c>
      <c r="C685" s="21"/>
      <c r="D685" s="23"/>
      <c r="E685" s="24">
        <v>1.4</v>
      </c>
      <c r="F685" s="30">
        <f t="shared" si="108"/>
        <v>0</v>
      </c>
      <c r="G685" s="23"/>
      <c r="H685" s="31">
        <v>0.1</v>
      </c>
      <c r="I685" s="30">
        <f t="shared" si="112"/>
        <v>0</v>
      </c>
      <c r="J685" s="23"/>
      <c r="K685" s="32">
        <v>0.12970000000000001</v>
      </c>
      <c r="L685" s="30">
        <f t="shared" si="110"/>
        <v>0</v>
      </c>
      <c r="M685" s="23"/>
      <c r="N685" s="33">
        <v>0.41660000000000003</v>
      </c>
      <c r="O685" s="30">
        <f t="shared" si="113"/>
        <v>0</v>
      </c>
      <c r="P685" s="722"/>
    </row>
    <row r="686" spans="1:16" x14ac:dyDescent="0.2">
      <c r="A686" s="722"/>
      <c r="B686" s="21" t="s">
        <v>80</v>
      </c>
      <c r="C686" s="21"/>
      <c r="D686" s="23"/>
      <c r="E686" s="24">
        <v>1.67</v>
      </c>
      <c r="F686" s="30">
        <f t="shared" si="108"/>
        <v>0</v>
      </c>
      <c r="G686" s="23"/>
      <c r="H686" s="31">
        <v>0.115</v>
      </c>
      <c r="I686" s="30">
        <f t="shared" si="112"/>
        <v>0</v>
      </c>
      <c r="J686" s="23"/>
      <c r="K686" s="32">
        <v>0.16420000000000001</v>
      </c>
      <c r="L686" s="30">
        <f t="shared" si="110"/>
        <v>0</v>
      </c>
      <c r="M686" s="23"/>
      <c r="N686" s="33"/>
      <c r="O686" s="30">
        <f t="shared" si="113"/>
        <v>0</v>
      </c>
      <c r="P686" s="722"/>
    </row>
    <row r="687" spans="1:16" x14ac:dyDescent="0.2">
      <c r="A687" s="722"/>
      <c r="B687" s="21" t="s">
        <v>81</v>
      </c>
      <c r="C687" s="21"/>
      <c r="D687" s="23"/>
      <c r="E687" s="24">
        <v>1.8</v>
      </c>
      <c r="F687" s="30">
        <f t="shared" si="108"/>
        <v>0</v>
      </c>
      <c r="G687" s="23"/>
      <c r="H687" s="31">
        <v>0.12</v>
      </c>
      <c r="I687" s="30">
        <f t="shared" si="112"/>
        <v>0</v>
      </c>
      <c r="J687" s="23"/>
      <c r="K687" s="32">
        <v>0.20269999999999999</v>
      </c>
      <c r="L687" s="30">
        <f t="shared" si="110"/>
        <v>0</v>
      </c>
      <c r="M687" s="23"/>
      <c r="N687" s="33"/>
      <c r="O687" s="30">
        <f t="shared" si="113"/>
        <v>0</v>
      </c>
      <c r="P687" s="722"/>
    </row>
    <row r="688" spans="1:16" x14ac:dyDescent="0.2">
      <c r="A688" s="722"/>
      <c r="B688" s="21" t="s">
        <v>82</v>
      </c>
      <c r="C688" s="21"/>
      <c r="D688" s="23"/>
      <c r="E688" s="24">
        <v>2.15</v>
      </c>
      <c r="F688" s="30">
        <f t="shared" si="108"/>
        <v>0</v>
      </c>
      <c r="G688" s="23"/>
      <c r="H688" s="31"/>
      <c r="I688" s="30">
        <f t="shared" si="112"/>
        <v>0</v>
      </c>
      <c r="J688" s="23"/>
      <c r="K688" s="32">
        <v>0.29189999999999999</v>
      </c>
      <c r="L688" s="30">
        <f t="shared" si="110"/>
        <v>0</v>
      </c>
      <c r="M688" s="23"/>
      <c r="N688" s="33"/>
      <c r="O688" s="30">
        <f t="shared" si="113"/>
        <v>0</v>
      </c>
      <c r="P688" s="722"/>
    </row>
    <row r="689" spans="1:16" x14ac:dyDescent="0.2">
      <c r="A689" s="722"/>
      <c r="B689" s="21" t="s">
        <v>83</v>
      </c>
      <c r="C689" s="21"/>
      <c r="D689" s="23"/>
      <c r="E689" s="24">
        <v>2.78</v>
      </c>
      <c r="F689" s="30">
        <f t="shared" si="108"/>
        <v>0</v>
      </c>
      <c r="G689" s="23"/>
      <c r="H689" s="31"/>
      <c r="I689" s="30">
        <f t="shared" si="112"/>
        <v>0</v>
      </c>
      <c r="J689" s="23"/>
      <c r="K689" s="32">
        <v>0.45600000000000002</v>
      </c>
      <c r="L689" s="30">
        <f t="shared" si="110"/>
        <v>0</v>
      </c>
      <c r="M689" s="23"/>
      <c r="N689" s="33"/>
      <c r="O689" s="30">
        <f t="shared" si="113"/>
        <v>0</v>
      </c>
      <c r="P689" s="722"/>
    </row>
    <row r="690" spans="1:16" x14ac:dyDescent="0.2">
      <c r="A690" s="722"/>
      <c r="B690" s="21" t="s">
        <v>84</v>
      </c>
      <c r="C690" s="21"/>
      <c r="D690" s="23"/>
      <c r="E690" s="24">
        <v>3.72</v>
      </c>
      <c r="F690" s="30">
        <f t="shared" si="108"/>
        <v>0</v>
      </c>
      <c r="G690" s="23"/>
      <c r="H690" s="31"/>
      <c r="I690" s="30">
        <f t="shared" si="112"/>
        <v>0</v>
      </c>
      <c r="J690" s="23"/>
      <c r="K690" s="32">
        <v>0.65669999999999995</v>
      </c>
      <c r="L690" s="30">
        <f t="shared" si="110"/>
        <v>0</v>
      </c>
      <c r="M690" s="23"/>
      <c r="N690" s="33"/>
      <c r="O690" s="30">
        <f t="shared" si="113"/>
        <v>0</v>
      </c>
      <c r="P690" s="722"/>
    </row>
    <row r="691" spans="1:16" x14ac:dyDescent="0.2">
      <c r="A691" s="722"/>
      <c r="B691" s="21" t="s">
        <v>85</v>
      </c>
      <c r="C691" s="21"/>
      <c r="D691" s="23"/>
      <c r="E691" s="24">
        <v>3.95</v>
      </c>
      <c r="F691" s="30">
        <f t="shared" si="108"/>
        <v>0</v>
      </c>
      <c r="G691" s="23"/>
      <c r="H691" s="31"/>
      <c r="I691" s="30">
        <f t="shared" si="112"/>
        <v>0</v>
      </c>
      <c r="J691" s="23"/>
      <c r="K691" s="32">
        <v>0.73170000000000002</v>
      </c>
      <c r="L691" s="30">
        <f t="shared" si="110"/>
        <v>0</v>
      </c>
      <c r="M691" s="23"/>
      <c r="N691" s="33"/>
      <c r="O691" s="30">
        <f t="shared" si="113"/>
        <v>0</v>
      </c>
      <c r="P691" s="722"/>
    </row>
    <row r="692" spans="1:16" x14ac:dyDescent="0.2">
      <c r="A692" s="722"/>
      <c r="B692" s="21" t="s">
        <v>86</v>
      </c>
      <c r="C692" s="21"/>
      <c r="D692" s="23"/>
      <c r="E692" s="24">
        <v>4.16</v>
      </c>
      <c r="F692" s="30">
        <f t="shared" si="108"/>
        <v>0</v>
      </c>
      <c r="G692" s="23"/>
      <c r="H692" s="31"/>
      <c r="I692" s="30">
        <f t="shared" si="112"/>
        <v>0</v>
      </c>
      <c r="J692" s="23"/>
      <c r="K692" s="32">
        <v>0.81069999999999998</v>
      </c>
      <c r="L692" s="30">
        <f t="shared" si="110"/>
        <v>0</v>
      </c>
      <c r="M692" s="23"/>
      <c r="N692" s="33"/>
      <c r="O692" s="30">
        <f t="shared" si="113"/>
        <v>0</v>
      </c>
      <c r="P692" s="722"/>
    </row>
    <row r="693" spans="1:16" ht="13.5" thickBot="1" x14ac:dyDescent="0.25">
      <c r="A693" s="722"/>
      <c r="B693" s="34" t="s">
        <v>87</v>
      </c>
      <c r="C693" s="34"/>
      <c r="D693" s="23"/>
      <c r="E693" s="24">
        <v>4.3600000000000003</v>
      </c>
      <c r="F693" s="30">
        <f t="shared" si="108"/>
        <v>0</v>
      </c>
      <c r="G693" s="23"/>
      <c r="H693" s="31"/>
      <c r="I693" s="30">
        <f t="shared" si="112"/>
        <v>0</v>
      </c>
      <c r="J693" s="23"/>
      <c r="K693" s="32">
        <v>0.89380000000000004</v>
      </c>
      <c r="L693" s="30">
        <f t="shared" si="110"/>
        <v>0</v>
      </c>
      <c r="M693" s="23"/>
      <c r="N693" s="33"/>
      <c r="O693" s="30">
        <f t="shared" si="113"/>
        <v>0</v>
      </c>
      <c r="P693" s="722"/>
    </row>
    <row r="694" spans="1:16" ht="16.5" thickBot="1" x14ac:dyDescent="0.3">
      <c r="A694" s="722"/>
      <c r="B694" s="36"/>
      <c r="C694" s="37">
        <f>SUM(C675:C693)</f>
        <v>757.96</v>
      </c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722"/>
    </row>
    <row r="695" spans="1:16" ht="13.5" thickBot="1" x14ac:dyDescent="0.25">
      <c r="A695" s="722"/>
      <c r="B695" s="23"/>
      <c r="C695" s="38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722"/>
    </row>
    <row r="696" spans="1:16" ht="16.5" thickBot="1" x14ac:dyDescent="0.3">
      <c r="A696" s="722"/>
      <c r="B696" s="23"/>
      <c r="C696" s="39" t="s">
        <v>88</v>
      </c>
      <c r="D696" s="40"/>
      <c r="E696" s="41" t="s">
        <v>89</v>
      </c>
      <c r="F696" s="37">
        <f>SUM(F675:F694)</f>
        <v>682.1640000000001</v>
      </c>
      <c r="G696" s="42"/>
      <c r="H696" s="43" t="s">
        <v>90</v>
      </c>
      <c r="I696" s="37">
        <f>SUM(I675:I694)</f>
        <v>56.847000000000001</v>
      </c>
      <c r="J696" s="44"/>
      <c r="K696" s="41" t="s">
        <v>91</v>
      </c>
      <c r="L696" s="37">
        <f>SUM(L675:L694)</f>
        <v>24.557904000000001</v>
      </c>
      <c r="M696" s="44"/>
      <c r="N696" s="41" t="s">
        <v>92</v>
      </c>
      <c r="O696" s="37">
        <f>(SUM(O675:O694)/6)*0.25</f>
        <v>4.9267399999999997</v>
      </c>
      <c r="P696" s="722"/>
    </row>
    <row r="697" spans="1:16" ht="13.5" thickBot="1" x14ac:dyDescent="0.25">
      <c r="A697" s="722"/>
      <c r="B697" s="23"/>
      <c r="C697" s="23"/>
      <c r="D697" s="23"/>
      <c r="E697" s="23"/>
      <c r="F697" s="45"/>
      <c r="G697" s="45"/>
      <c r="H697" s="45"/>
      <c r="I697" s="45"/>
      <c r="J697" s="23"/>
      <c r="K697" s="23"/>
      <c r="L697" s="23"/>
      <c r="M697" s="23"/>
      <c r="N697" s="23"/>
      <c r="O697" s="23"/>
      <c r="P697" s="722"/>
    </row>
    <row r="698" spans="1:16" ht="16.5" thickBot="1" x14ac:dyDescent="0.3">
      <c r="A698" s="722"/>
      <c r="B698" s="23"/>
      <c r="C698" s="46" t="s">
        <v>93</v>
      </c>
      <c r="D698" s="47"/>
      <c r="E698" s="47"/>
      <c r="F698" s="47"/>
      <c r="G698" s="47"/>
      <c r="H698" s="47"/>
      <c r="I698" s="48">
        <f>(F696-I696-L696)*0.95</f>
        <v>570.72114120000003</v>
      </c>
      <c r="J698" s="23"/>
      <c r="K698" s="23"/>
      <c r="L698" s="23"/>
      <c r="M698" s="23"/>
      <c r="N698" s="23"/>
      <c r="O698" s="23"/>
      <c r="P698" s="722"/>
    </row>
    <row r="699" spans="1:16" ht="13.5" thickBot="1" x14ac:dyDescent="0.25">
      <c r="A699" s="722"/>
      <c r="B699" s="23"/>
      <c r="C699" s="23"/>
      <c r="D699" s="23"/>
      <c r="E699" s="23"/>
      <c r="F699" s="45"/>
      <c r="G699" s="45"/>
      <c r="H699" s="45"/>
      <c r="I699" s="45"/>
      <c r="J699" s="23"/>
      <c r="K699" s="23"/>
      <c r="L699" s="23"/>
      <c r="M699" s="23"/>
      <c r="N699" s="23"/>
      <c r="O699" s="23"/>
      <c r="P699" s="722"/>
    </row>
    <row r="700" spans="1:16" ht="16.5" thickBot="1" x14ac:dyDescent="0.3">
      <c r="A700" s="722"/>
      <c r="B700" s="23"/>
      <c r="C700" s="46" t="s">
        <v>94</v>
      </c>
      <c r="D700" s="49"/>
      <c r="E700" s="49"/>
      <c r="F700" s="49"/>
      <c r="G700" s="49"/>
      <c r="H700" s="49"/>
      <c r="I700" s="48">
        <f>((F696-I698)*1.2)</f>
        <v>133.73143056000006</v>
      </c>
      <c r="J700" s="23"/>
      <c r="K700" s="23">
        <f>+I700</f>
        <v>133.73143056000006</v>
      </c>
      <c r="L700" s="23"/>
      <c r="M700" s="23"/>
      <c r="N700" s="23"/>
      <c r="O700" s="23"/>
      <c r="P700" s="722"/>
    </row>
    <row r="701" spans="1:16" x14ac:dyDescent="0.2">
      <c r="A701" s="722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722"/>
    </row>
    <row r="702" spans="1:16" ht="18" x14ac:dyDescent="0.25">
      <c r="A702" s="722"/>
      <c r="B702" s="23"/>
      <c r="C702" s="1567" t="s">
        <v>95</v>
      </c>
      <c r="D702" s="1567"/>
      <c r="E702" s="1567"/>
      <c r="F702" s="1567"/>
      <c r="G702" s="23"/>
      <c r="H702" s="23"/>
      <c r="I702" s="23"/>
      <c r="J702" s="23"/>
      <c r="K702" s="23"/>
      <c r="L702" s="23"/>
      <c r="M702" s="23"/>
      <c r="N702" s="23"/>
      <c r="O702" s="23"/>
      <c r="P702" s="722"/>
    </row>
    <row r="703" spans="1:16" ht="13.5" thickBot="1" x14ac:dyDescent="0.25">
      <c r="A703" s="722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722"/>
    </row>
    <row r="704" spans="1:16" ht="13.5" thickBot="1" x14ac:dyDescent="0.25">
      <c r="A704" s="722"/>
      <c r="B704" s="45"/>
      <c r="C704" s="50" t="s">
        <v>96</v>
      </c>
      <c r="D704" s="45"/>
      <c r="E704" s="50" t="s">
        <v>97</v>
      </c>
      <c r="F704" s="51" t="s">
        <v>98</v>
      </c>
      <c r="G704" s="23"/>
      <c r="H704" s="23"/>
      <c r="I704" s="23"/>
      <c r="J704" s="23"/>
      <c r="K704" s="23"/>
      <c r="L704" s="23"/>
      <c r="M704" s="23"/>
      <c r="N704" s="23"/>
      <c r="O704" s="23"/>
      <c r="P704" s="722"/>
    </row>
    <row r="705" spans="1:16" x14ac:dyDescent="0.2">
      <c r="A705" s="722"/>
      <c r="B705" s="21" t="s">
        <v>71</v>
      </c>
      <c r="C705" s="25"/>
      <c r="D705" s="45"/>
      <c r="E705" s="52">
        <v>0.02</v>
      </c>
      <c r="F705" s="53">
        <f>(E705*C705)+C705</f>
        <v>0</v>
      </c>
      <c r="G705" s="23"/>
      <c r="H705" s="23"/>
      <c r="I705" s="23">
        <f>+F696*0.35</f>
        <v>238.75740000000002</v>
      </c>
      <c r="J705" s="23"/>
      <c r="K705" s="23"/>
      <c r="L705" s="62" t="s">
        <v>100</v>
      </c>
      <c r="M705" s="63"/>
      <c r="N705" s="23"/>
      <c r="O705" s="23"/>
      <c r="P705" s="722"/>
    </row>
    <row r="706" spans="1:16" x14ac:dyDescent="0.2">
      <c r="A706" s="722"/>
      <c r="B706" s="21" t="s">
        <v>72</v>
      </c>
      <c r="C706" s="25">
        <f>+C678</f>
        <v>0</v>
      </c>
      <c r="D706" s="45"/>
      <c r="E706" s="54">
        <v>0.02</v>
      </c>
      <c r="F706" s="55">
        <f>(E706*C706)+C706</f>
        <v>0</v>
      </c>
      <c r="G706" s="23"/>
      <c r="H706" s="23"/>
      <c r="I706" s="23">
        <f>+F696*0.35</f>
        <v>238.75740000000002</v>
      </c>
      <c r="J706" s="23"/>
      <c r="K706" s="23">
        <f>+F696*0.3</f>
        <v>204.64920000000004</v>
      </c>
      <c r="L706" s="64">
        <f>+K706*1.2</f>
        <v>245.57904000000002</v>
      </c>
      <c r="M706" s="65"/>
      <c r="N706" s="23"/>
      <c r="O706" s="23"/>
      <c r="P706" s="722"/>
    </row>
    <row r="707" spans="1:16" x14ac:dyDescent="0.2">
      <c r="A707" s="722"/>
      <c r="B707" s="21" t="s">
        <v>73</v>
      </c>
      <c r="C707" s="25">
        <f>C679</f>
        <v>0</v>
      </c>
      <c r="D707" s="45"/>
      <c r="E707" s="54">
        <v>0.02</v>
      </c>
      <c r="F707" s="55">
        <f>(E707*C707)+C707</f>
        <v>0</v>
      </c>
      <c r="G707" s="23"/>
      <c r="H707" s="23"/>
      <c r="I707" s="23">
        <f>+F696*0.3</f>
        <v>204.64920000000004</v>
      </c>
      <c r="J707" s="23"/>
      <c r="K707" s="23"/>
      <c r="L707" s="62" t="s">
        <v>101</v>
      </c>
      <c r="M707" s="63"/>
      <c r="N707" s="23"/>
      <c r="O707" s="23"/>
      <c r="P707" s="722"/>
    </row>
    <row r="708" spans="1:16" x14ac:dyDescent="0.2">
      <c r="A708" s="722"/>
      <c r="B708" s="21" t="s">
        <v>74</v>
      </c>
      <c r="C708" s="25">
        <f>C680</f>
        <v>0</v>
      </c>
      <c r="D708" s="45"/>
      <c r="E708" s="54">
        <v>0.03</v>
      </c>
      <c r="F708" s="55">
        <f>(E708*C708)+C708</f>
        <v>0</v>
      </c>
      <c r="G708" s="23"/>
      <c r="H708" s="23"/>
      <c r="I708" s="23"/>
      <c r="J708" s="23"/>
      <c r="K708" s="23"/>
      <c r="L708" s="64">
        <f>+I700+L706</f>
        <v>379.31047056000011</v>
      </c>
      <c r="M708" s="65"/>
      <c r="N708" s="23"/>
      <c r="O708" s="23"/>
      <c r="P708" s="722"/>
    </row>
    <row r="709" spans="1:16" x14ac:dyDescent="0.2">
      <c r="A709" s="722"/>
      <c r="B709" s="21" t="s">
        <v>75</v>
      </c>
      <c r="C709" s="25">
        <f>C681</f>
        <v>757.96</v>
      </c>
      <c r="D709" s="45"/>
      <c r="E709" s="54">
        <v>0.03</v>
      </c>
      <c r="F709" s="55">
        <f>C709*E709+C709</f>
        <v>780.69880000000001</v>
      </c>
      <c r="G709" s="23"/>
      <c r="H709" s="23"/>
      <c r="I709" s="23"/>
      <c r="J709" s="23"/>
      <c r="K709" s="23"/>
      <c r="L709" s="23"/>
      <c r="M709" s="23"/>
      <c r="N709" s="23"/>
      <c r="O709" s="23"/>
      <c r="P709" s="722"/>
    </row>
    <row r="710" spans="1:16" x14ac:dyDescent="0.2">
      <c r="A710" s="722"/>
      <c r="B710" s="21" t="s">
        <v>76</v>
      </c>
      <c r="C710" s="25">
        <f t="shared" ref="C710:C721" si="114">C682</f>
        <v>0</v>
      </c>
      <c r="D710" s="45"/>
      <c r="E710" s="54">
        <v>0.04</v>
      </c>
      <c r="F710" s="55">
        <f t="shared" ref="F710:F721" si="115">(E710*C710)+C710</f>
        <v>0</v>
      </c>
      <c r="G710" s="23"/>
      <c r="H710" s="23"/>
      <c r="I710" s="23"/>
      <c r="J710" s="23"/>
      <c r="K710" s="23"/>
      <c r="L710" s="23"/>
      <c r="M710" s="23"/>
      <c r="N710" s="23"/>
      <c r="O710" s="23"/>
      <c r="P710" s="722"/>
    </row>
    <row r="711" spans="1:16" x14ac:dyDescent="0.2">
      <c r="A711" s="722"/>
      <c r="B711" s="21" t="s">
        <v>77</v>
      </c>
      <c r="C711" s="25">
        <f t="shared" si="114"/>
        <v>0</v>
      </c>
      <c r="D711" s="45"/>
      <c r="E711" s="54">
        <v>0.04</v>
      </c>
      <c r="F711" s="55">
        <f t="shared" si="115"/>
        <v>0</v>
      </c>
      <c r="G711" s="23"/>
      <c r="H711" s="23"/>
      <c r="I711" s="23"/>
      <c r="J711" s="23"/>
      <c r="K711" s="23"/>
      <c r="L711" s="23"/>
      <c r="M711" s="23"/>
      <c r="N711" s="23"/>
      <c r="O711" s="23"/>
      <c r="P711" s="722"/>
    </row>
    <row r="712" spans="1:16" x14ac:dyDescent="0.2">
      <c r="A712" s="722"/>
      <c r="B712" s="21" t="s">
        <v>78</v>
      </c>
      <c r="C712" s="25">
        <f t="shared" si="114"/>
        <v>0</v>
      </c>
      <c r="D712" s="45"/>
      <c r="E712" s="54">
        <v>0.04</v>
      </c>
      <c r="F712" s="55">
        <f t="shared" si="115"/>
        <v>0</v>
      </c>
      <c r="G712" s="23"/>
      <c r="H712" s="23"/>
      <c r="I712" s="23"/>
      <c r="J712" s="23"/>
      <c r="K712" s="23"/>
      <c r="L712" s="23"/>
      <c r="M712" s="23"/>
      <c r="N712" s="23"/>
      <c r="O712" s="23"/>
      <c r="P712" s="722"/>
    </row>
    <row r="713" spans="1:16" x14ac:dyDescent="0.2">
      <c r="A713" s="722"/>
      <c r="B713" s="21" t="s">
        <v>79</v>
      </c>
      <c r="C713" s="25">
        <f t="shared" si="114"/>
        <v>0</v>
      </c>
      <c r="D713" s="45"/>
      <c r="E713" s="54">
        <v>0.05</v>
      </c>
      <c r="F713" s="55">
        <f t="shared" si="115"/>
        <v>0</v>
      </c>
      <c r="G713" s="23"/>
      <c r="H713" s="23"/>
      <c r="I713" s="23"/>
      <c r="J713" s="23"/>
      <c r="K713" s="23"/>
      <c r="L713" s="23"/>
      <c r="M713" s="23"/>
      <c r="N713" s="23"/>
      <c r="O713" s="23"/>
      <c r="P713" s="722"/>
    </row>
    <row r="714" spans="1:16" x14ac:dyDescent="0.2">
      <c r="A714" s="722"/>
      <c r="B714" s="21" t="s">
        <v>80</v>
      </c>
      <c r="C714" s="25">
        <f t="shared" si="114"/>
        <v>0</v>
      </c>
      <c r="D714" s="45"/>
      <c r="E714" s="54">
        <v>0.05</v>
      </c>
      <c r="F714" s="55">
        <f t="shared" si="115"/>
        <v>0</v>
      </c>
      <c r="G714" s="23"/>
      <c r="H714" s="23"/>
      <c r="I714" s="23"/>
      <c r="J714" s="23"/>
      <c r="K714" s="23"/>
      <c r="L714" s="23"/>
      <c r="M714" s="23"/>
      <c r="N714" s="23"/>
      <c r="O714" s="23"/>
      <c r="P714" s="722"/>
    </row>
    <row r="715" spans="1:16" x14ac:dyDescent="0.2">
      <c r="A715" s="722"/>
      <c r="B715" s="21" t="s">
        <v>81</v>
      </c>
      <c r="C715" s="25">
        <f t="shared" si="114"/>
        <v>0</v>
      </c>
      <c r="D715" s="45"/>
      <c r="E715" s="54">
        <v>0.06</v>
      </c>
      <c r="F715" s="55">
        <f t="shared" si="115"/>
        <v>0</v>
      </c>
      <c r="G715" s="23"/>
      <c r="H715" s="23"/>
      <c r="I715" s="23"/>
      <c r="J715" s="23"/>
      <c r="K715" s="23"/>
      <c r="L715" s="23"/>
      <c r="M715" s="23"/>
      <c r="N715" s="23"/>
      <c r="O715" s="23"/>
      <c r="P715" s="722"/>
    </row>
    <row r="716" spans="1:16" x14ac:dyDescent="0.2">
      <c r="A716" s="722"/>
      <c r="B716" s="21" t="s">
        <v>82</v>
      </c>
      <c r="C716" s="25">
        <f t="shared" si="114"/>
        <v>0</v>
      </c>
      <c r="D716" s="45"/>
      <c r="E716" s="54">
        <v>7.0000000000000007E-2</v>
      </c>
      <c r="F716" s="55">
        <f t="shared" si="115"/>
        <v>0</v>
      </c>
      <c r="G716" s="23"/>
      <c r="H716" s="23"/>
      <c r="I716" s="23"/>
      <c r="J716" s="23"/>
      <c r="K716" s="23"/>
      <c r="L716" s="23"/>
      <c r="M716" s="23"/>
      <c r="N716" s="23"/>
      <c r="O716" s="23"/>
      <c r="P716" s="722"/>
    </row>
    <row r="717" spans="1:16" x14ac:dyDescent="0.2">
      <c r="A717" s="722"/>
      <c r="B717" s="21" t="s">
        <v>83</v>
      </c>
      <c r="C717" s="25">
        <f t="shared" si="114"/>
        <v>0</v>
      </c>
      <c r="D717" s="45"/>
      <c r="E717" s="54"/>
      <c r="F717" s="55">
        <f t="shared" si="115"/>
        <v>0</v>
      </c>
      <c r="G717" s="23"/>
      <c r="H717" s="23"/>
      <c r="I717" s="23"/>
      <c r="J717" s="23"/>
      <c r="K717" s="23"/>
      <c r="L717" s="23"/>
      <c r="M717" s="23"/>
      <c r="N717" s="23"/>
      <c r="O717" s="23"/>
      <c r="P717" s="722"/>
    </row>
    <row r="718" spans="1:16" x14ac:dyDescent="0.2">
      <c r="A718" s="722"/>
      <c r="B718" s="21" t="s">
        <v>84</v>
      </c>
      <c r="C718" s="25">
        <f t="shared" si="114"/>
        <v>0</v>
      </c>
      <c r="D718" s="45"/>
      <c r="E718" s="54"/>
      <c r="F718" s="55">
        <f t="shared" si="115"/>
        <v>0</v>
      </c>
      <c r="G718" s="23"/>
      <c r="H718" s="23"/>
      <c r="I718" s="23"/>
      <c r="J718" s="23"/>
      <c r="K718" s="23"/>
      <c r="L718" s="23"/>
      <c r="M718" s="23"/>
      <c r="N718" s="23"/>
      <c r="O718" s="23"/>
      <c r="P718" s="722"/>
    </row>
    <row r="719" spans="1:16" x14ac:dyDescent="0.2">
      <c r="A719" s="722"/>
      <c r="B719" s="21" t="s">
        <v>85</v>
      </c>
      <c r="C719" s="25">
        <f t="shared" si="114"/>
        <v>0</v>
      </c>
      <c r="D719" s="45"/>
      <c r="E719" s="54"/>
      <c r="F719" s="55">
        <f t="shared" si="115"/>
        <v>0</v>
      </c>
      <c r="G719" s="23"/>
      <c r="H719" s="23"/>
      <c r="I719" s="23"/>
      <c r="J719" s="23"/>
      <c r="K719" s="23"/>
      <c r="L719" s="23"/>
      <c r="M719" s="23"/>
      <c r="N719" s="23"/>
      <c r="O719" s="23"/>
      <c r="P719" s="722"/>
    </row>
    <row r="720" spans="1:16" x14ac:dyDescent="0.2">
      <c r="A720" s="722"/>
      <c r="B720" s="21" t="s">
        <v>86</v>
      </c>
      <c r="C720" s="25">
        <f t="shared" si="114"/>
        <v>0</v>
      </c>
      <c r="D720" s="45"/>
      <c r="E720" s="54"/>
      <c r="F720" s="55">
        <f t="shared" si="115"/>
        <v>0</v>
      </c>
      <c r="G720" s="23"/>
      <c r="H720" s="23"/>
      <c r="I720" s="23"/>
      <c r="J720" s="23"/>
      <c r="K720" s="23"/>
      <c r="L720" s="23"/>
      <c r="M720" s="23"/>
      <c r="N720" s="23"/>
      <c r="O720" s="23"/>
      <c r="P720" s="722"/>
    </row>
    <row r="721" spans="1:16" x14ac:dyDescent="0.2">
      <c r="A721" s="722"/>
      <c r="B721" s="21" t="s">
        <v>87</v>
      </c>
      <c r="C721" s="25">
        <f t="shared" si="114"/>
        <v>0</v>
      </c>
      <c r="D721" s="45"/>
      <c r="E721" s="54"/>
      <c r="F721" s="55">
        <f t="shared" si="115"/>
        <v>0</v>
      </c>
      <c r="G721" s="23"/>
      <c r="H721" s="23"/>
      <c r="I721" s="23"/>
      <c r="J721" s="23"/>
      <c r="K721" s="23"/>
      <c r="L721" s="23"/>
      <c r="M721" s="23"/>
      <c r="N721" s="23"/>
      <c r="O721" s="23"/>
      <c r="P721" s="722"/>
    </row>
    <row r="722" spans="1:16" x14ac:dyDescent="0.2">
      <c r="A722" s="722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722"/>
    </row>
    <row r="725" spans="1:16" x14ac:dyDescent="0.2">
      <c r="A725" s="865"/>
      <c r="B725" s="865"/>
      <c r="C725" s="864" t="s">
        <v>611</v>
      </c>
      <c r="D725" s="61"/>
      <c r="E725" s="61"/>
      <c r="F725" s="865"/>
      <c r="G725" s="865"/>
      <c r="H725" s="865"/>
      <c r="I725" s="865"/>
      <c r="J725" s="865"/>
      <c r="K725" s="865"/>
      <c r="L725" s="865"/>
      <c r="M725" s="865"/>
      <c r="N725" s="865"/>
      <c r="O725" s="865"/>
      <c r="P725" s="865"/>
    </row>
    <row r="726" spans="1:16" ht="13.5" thickBot="1" x14ac:dyDescent="0.25">
      <c r="A726" s="865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865"/>
    </row>
    <row r="727" spans="1:16" ht="13.5" thickBot="1" x14ac:dyDescent="0.25">
      <c r="A727" s="865"/>
      <c r="B727" s="14"/>
      <c r="C727" s="14"/>
      <c r="D727" s="14"/>
      <c r="E727" s="1565" t="s">
        <v>63</v>
      </c>
      <c r="F727" s="1566"/>
      <c r="G727" s="16"/>
      <c r="H727" s="1565" t="s">
        <v>64</v>
      </c>
      <c r="I727" s="1566"/>
      <c r="J727" s="16"/>
      <c r="K727" s="1565" t="s">
        <v>65</v>
      </c>
      <c r="L727" s="1566"/>
      <c r="M727" s="16"/>
      <c r="N727" s="1565" t="s">
        <v>66</v>
      </c>
      <c r="O727" s="1566"/>
      <c r="P727" s="865"/>
    </row>
    <row r="728" spans="1:16" ht="13.5" thickBot="1" x14ac:dyDescent="0.25">
      <c r="A728" s="865"/>
      <c r="B728" s="14"/>
      <c r="C728" s="17" t="s">
        <v>67</v>
      </c>
      <c r="D728" s="14"/>
      <c r="E728" s="18" t="s">
        <v>68</v>
      </c>
      <c r="F728" s="19" t="s">
        <v>69</v>
      </c>
      <c r="G728" s="16"/>
      <c r="H728" s="18" t="s">
        <v>68</v>
      </c>
      <c r="I728" s="19" t="s">
        <v>69</v>
      </c>
      <c r="J728" s="16"/>
      <c r="K728" s="18" t="s">
        <v>68</v>
      </c>
      <c r="L728" s="19" t="s">
        <v>69</v>
      </c>
      <c r="M728" s="16"/>
      <c r="N728" s="18" t="s">
        <v>68</v>
      </c>
      <c r="O728" s="19" t="s">
        <v>70</v>
      </c>
      <c r="P728" s="865"/>
    </row>
    <row r="729" spans="1:16" x14ac:dyDescent="0.2">
      <c r="A729" s="865"/>
      <c r="B729" s="21" t="s">
        <v>71</v>
      </c>
      <c r="C729" s="22"/>
      <c r="D729" s="23"/>
      <c r="E729" s="24">
        <v>0.63</v>
      </c>
      <c r="F729" s="25">
        <f>+E729*C729</f>
        <v>0</v>
      </c>
      <c r="G729" s="23"/>
      <c r="H729" s="26">
        <v>0.06</v>
      </c>
      <c r="I729" s="25">
        <f t="shared" ref="I729:I730" si="116">+H729*C729</f>
        <v>0</v>
      </c>
      <c r="J729" s="23"/>
      <c r="K729" s="27">
        <v>2E-3</v>
      </c>
      <c r="L729" s="25">
        <f>+K729*C729</f>
        <v>0</v>
      </c>
      <c r="M729" s="23"/>
      <c r="N729" s="28">
        <v>1.388E-2</v>
      </c>
      <c r="O729" s="25">
        <f>+N729*C729</f>
        <v>0</v>
      </c>
      <c r="P729" s="865"/>
    </row>
    <row r="730" spans="1:16" x14ac:dyDescent="0.2">
      <c r="A730" s="865"/>
      <c r="B730" s="21" t="s">
        <v>71</v>
      </c>
      <c r="C730" s="22"/>
      <c r="D730" s="23"/>
      <c r="E730" s="24">
        <v>0.63</v>
      </c>
      <c r="F730" s="25">
        <f t="shared" ref="F730" si="117">+E730*C730</f>
        <v>0</v>
      </c>
      <c r="G730" s="23"/>
      <c r="H730" s="26">
        <v>0.06</v>
      </c>
      <c r="I730" s="25">
        <f t="shared" si="116"/>
        <v>0</v>
      </c>
      <c r="J730" s="23"/>
      <c r="K730" s="27">
        <v>2E-3</v>
      </c>
      <c r="L730" s="25">
        <f t="shared" ref="L730" si="118">+K730*C730</f>
        <v>0</v>
      </c>
      <c r="M730" s="23"/>
      <c r="N730" s="28">
        <v>1.388E-2</v>
      </c>
      <c r="O730" s="25">
        <f t="shared" ref="O730" si="119">+N730*C730</f>
        <v>0</v>
      </c>
      <c r="P730" s="865"/>
    </row>
    <row r="731" spans="1:16" x14ac:dyDescent="0.2">
      <c r="A731" s="865"/>
      <c r="B731" s="21" t="s">
        <v>72</v>
      </c>
      <c r="C731" s="29"/>
      <c r="D731" s="23"/>
      <c r="E731" s="24">
        <v>0.65</v>
      </c>
      <c r="F731" s="30">
        <f>+E731*C731</f>
        <v>0</v>
      </c>
      <c r="G731" s="23"/>
      <c r="H731" s="31">
        <v>0.06</v>
      </c>
      <c r="I731" s="30"/>
      <c r="J731" s="23"/>
      <c r="K731" s="32">
        <v>4.5999999999999999E-3</v>
      </c>
      <c r="L731" s="30">
        <f>+K731*C731</f>
        <v>0</v>
      </c>
      <c r="M731" s="23"/>
      <c r="N731" s="33">
        <v>1.7860000000000001E-2</v>
      </c>
      <c r="O731" s="30">
        <f>+N731*C731</f>
        <v>0</v>
      </c>
      <c r="P731" s="865"/>
    </row>
    <row r="732" spans="1:16" x14ac:dyDescent="0.2">
      <c r="A732" s="865"/>
      <c r="B732" s="21" t="s">
        <v>72</v>
      </c>
      <c r="C732" s="29"/>
      <c r="D732" s="23"/>
      <c r="E732" s="24">
        <v>0.65</v>
      </c>
      <c r="F732" s="30">
        <f t="shared" ref="F732:F747" si="120">+E732*C732</f>
        <v>0</v>
      </c>
      <c r="G732" s="23"/>
      <c r="H732" s="31">
        <v>0.06</v>
      </c>
      <c r="I732" s="30">
        <f t="shared" ref="I732:I733" si="121">+H732*C732</f>
        <v>0</v>
      </c>
      <c r="J732" s="23"/>
      <c r="K732" s="32">
        <v>4.5999999999999999E-3</v>
      </c>
      <c r="L732" s="30">
        <f t="shared" ref="L732:L747" si="122">+K732*C732</f>
        <v>0</v>
      </c>
      <c r="M732" s="23"/>
      <c r="N732" s="33">
        <v>1.7860000000000001E-2</v>
      </c>
      <c r="O732" s="30">
        <f t="shared" ref="O732:O733" si="123">+N732*C732</f>
        <v>0</v>
      </c>
      <c r="P732" s="865"/>
    </row>
    <row r="733" spans="1:16" x14ac:dyDescent="0.2">
      <c r="A733" s="865"/>
      <c r="B733" s="21" t="s">
        <v>73</v>
      </c>
      <c r="C733" s="29"/>
      <c r="D733" s="23"/>
      <c r="E733" s="24">
        <v>0.66</v>
      </c>
      <c r="F733" s="30">
        <f t="shared" si="120"/>
        <v>0</v>
      </c>
      <c r="G733" s="23"/>
      <c r="H733" s="31">
        <v>0.06</v>
      </c>
      <c r="I733" s="30">
        <f t="shared" si="121"/>
        <v>0</v>
      </c>
      <c r="J733" s="23"/>
      <c r="K733" s="32">
        <v>8.0999999999999996E-3</v>
      </c>
      <c r="L733" s="30">
        <f t="shared" si="122"/>
        <v>0</v>
      </c>
      <c r="M733" s="23"/>
      <c r="N733" s="33">
        <v>2.5000000000000001E-2</v>
      </c>
      <c r="O733" s="30">
        <f t="shared" si="123"/>
        <v>0</v>
      </c>
      <c r="P733" s="865"/>
    </row>
    <row r="734" spans="1:16" x14ac:dyDescent="0.2">
      <c r="A734" s="865"/>
      <c r="B734" s="21" t="s">
        <v>74</v>
      </c>
      <c r="C734" s="21">
        <v>6</v>
      </c>
      <c r="D734" s="23"/>
      <c r="E734" s="24">
        <v>1.1499999999999999</v>
      </c>
      <c r="F734" s="30">
        <f t="shared" si="120"/>
        <v>6.8999999999999995</v>
      </c>
      <c r="G734" s="23"/>
      <c r="H734" s="31">
        <v>7.0000000000000007E-2</v>
      </c>
      <c r="I734" s="30"/>
      <c r="J734" s="23"/>
      <c r="K734" s="32">
        <v>1.8200000000000001E-2</v>
      </c>
      <c r="L734" s="30">
        <f t="shared" si="122"/>
        <v>0.10920000000000001</v>
      </c>
      <c r="M734" s="23"/>
      <c r="N734" s="33">
        <v>7.8100000000000003E-2</v>
      </c>
      <c r="O734" s="30"/>
      <c r="P734" s="865"/>
    </row>
    <row r="735" spans="1:16" x14ac:dyDescent="0.2">
      <c r="A735" s="865"/>
      <c r="B735" s="21" t="s">
        <v>75</v>
      </c>
      <c r="C735" s="21"/>
      <c r="D735" s="23"/>
      <c r="E735" s="24">
        <v>0.9</v>
      </c>
      <c r="F735" s="30">
        <f t="shared" si="120"/>
        <v>0</v>
      </c>
      <c r="G735" s="23"/>
      <c r="H735" s="31">
        <v>7.4999999999999997E-2</v>
      </c>
      <c r="I735" s="30">
        <f t="shared" ref="I735:I747" si="124">+H735*C735</f>
        <v>0</v>
      </c>
      <c r="J735" s="23"/>
      <c r="K735" s="32">
        <v>3.2399999999999998E-2</v>
      </c>
      <c r="L735" s="30">
        <f t="shared" si="122"/>
        <v>0</v>
      </c>
      <c r="M735" s="23"/>
      <c r="N735" s="33">
        <v>0.156</v>
      </c>
      <c r="O735" s="30">
        <f t="shared" ref="O735:O747" si="125">+N735*C735</f>
        <v>0</v>
      </c>
      <c r="P735" s="865"/>
    </row>
    <row r="736" spans="1:16" x14ac:dyDescent="0.2">
      <c r="A736" s="865"/>
      <c r="B736" s="21" t="s">
        <v>76</v>
      </c>
      <c r="C736" s="21"/>
      <c r="D736" s="23"/>
      <c r="E736" s="24">
        <v>1</v>
      </c>
      <c r="F736" s="30">
        <f t="shared" si="120"/>
        <v>0</v>
      </c>
      <c r="G736" s="23"/>
      <c r="H736" s="31">
        <v>0.08</v>
      </c>
      <c r="I736" s="30">
        <f t="shared" si="124"/>
        <v>0</v>
      </c>
      <c r="J736" s="23"/>
      <c r="K736" s="32">
        <v>5.0700000000000002E-2</v>
      </c>
      <c r="L736" s="30">
        <f t="shared" si="122"/>
        <v>0</v>
      </c>
      <c r="M736" s="23"/>
      <c r="N736" s="33">
        <v>0.23430000000000001</v>
      </c>
      <c r="O736" s="30">
        <f t="shared" si="125"/>
        <v>0</v>
      </c>
      <c r="P736" s="865"/>
    </row>
    <row r="737" spans="1:16" x14ac:dyDescent="0.2">
      <c r="A737" s="865"/>
      <c r="B737" s="21" t="s">
        <v>77</v>
      </c>
      <c r="C737" s="21"/>
      <c r="D737" s="23"/>
      <c r="E737" s="24">
        <v>1.1100000000000001</v>
      </c>
      <c r="F737" s="30">
        <f t="shared" si="120"/>
        <v>0</v>
      </c>
      <c r="G737" s="23"/>
      <c r="H737" s="31">
        <v>8.5000000000000006E-2</v>
      </c>
      <c r="I737" s="30">
        <f t="shared" si="124"/>
        <v>0</v>
      </c>
      <c r="J737" s="23"/>
      <c r="K737" s="32">
        <v>7.2999999999999995E-2</v>
      </c>
      <c r="L737" s="30">
        <f t="shared" si="122"/>
        <v>0</v>
      </c>
      <c r="M737" s="23"/>
      <c r="N737" s="33">
        <v>0.3125</v>
      </c>
      <c r="O737" s="30">
        <f t="shared" si="125"/>
        <v>0</v>
      </c>
      <c r="P737" s="865"/>
    </row>
    <row r="738" spans="1:16" x14ac:dyDescent="0.2">
      <c r="A738" s="865"/>
      <c r="B738" s="21" t="s">
        <v>78</v>
      </c>
      <c r="C738" s="21"/>
      <c r="D738" s="23"/>
      <c r="E738" s="24">
        <v>1.22</v>
      </c>
      <c r="F738" s="30">
        <f t="shared" si="120"/>
        <v>0</v>
      </c>
      <c r="G738" s="23"/>
      <c r="H738" s="31">
        <v>0.09</v>
      </c>
      <c r="I738" s="30">
        <f t="shared" si="124"/>
        <v>0</v>
      </c>
      <c r="J738" s="23"/>
      <c r="K738" s="32">
        <v>9.9299999999999999E-2</v>
      </c>
      <c r="L738" s="30">
        <f t="shared" si="122"/>
        <v>0</v>
      </c>
      <c r="M738" s="23"/>
      <c r="N738" s="33"/>
      <c r="O738" s="30">
        <f t="shared" si="125"/>
        <v>0</v>
      </c>
      <c r="P738" s="865"/>
    </row>
    <row r="739" spans="1:16" x14ac:dyDescent="0.2">
      <c r="A739" s="865"/>
      <c r="B739" s="21" t="s">
        <v>79</v>
      </c>
      <c r="C739" s="21"/>
      <c r="D739" s="23"/>
      <c r="E739" s="24">
        <v>1.4</v>
      </c>
      <c r="F739" s="30">
        <f t="shared" si="120"/>
        <v>0</v>
      </c>
      <c r="G739" s="23"/>
      <c r="H739" s="31">
        <v>0.1</v>
      </c>
      <c r="I739" s="30">
        <f t="shared" si="124"/>
        <v>0</v>
      </c>
      <c r="J739" s="23"/>
      <c r="K739" s="32">
        <v>0.12970000000000001</v>
      </c>
      <c r="L739" s="30">
        <f t="shared" si="122"/>
        <v>0</v>
      </c>
      <c r="M739" s="23"/>
      <c r="N739" s="33">
        <v>0.41660000000000003</v>
      </c>
      <c r="O739" s="30">
        <f t="shared" si="125"/>
        <v>0</v>
      </c>
      <c r="P739" s="865"/>
    </row>
    <row r="740" spans="1:16" x14ac:dyDescent="0.2">
      <c r="A740" s="865"/>
      <c r="B740" s="21" t="s">
        <v>80</v>
      </c>
      <c r="C740" s="21"/>
      <c r="D740" s="23"/>
      <c r="E740" s="24">
        <v>1.67</v>
      </c>
      <c r="F740" s="30">
        <f t="shared" si="120"/>
        <v>0</v>
      </c>
      <c r="G740" s="23"/>
      <c r="H740" s="31">
        <v>0.115</v>
      </c>
      <c r="I740" s="30">
        <f t="shared" si="124"/>
        <v>0</v>
      </c>
      <c r="J740" s="23"/>
      <c r="K740" s="32">
        <v>0.16420000000000001</v>
      </c>
      <c r="L740" s="30">
        <f t="shared" si="122"/>
        <v>0</v>
      </c>
      <c r="M740" s="23"/>
      <c r="N740" s="33"/>
      <c r="O740" s="30">
        <f t="shared" si="125"/>
        <v>0</v>
      </c>
      <c r="P740" s="865"/>
    </row>
    <row r="741" spans="1:16" x14ac:dyDescent="0.2">
      <c r="A741" s="865"/>
      <c r="B741" s="21" t="s">
        <v>81</v>
      </c>
      <c r="C741" s="21"/>
      <c r="D741" s="23"/>
      <c r="E741" s="24">
        <v>1.8</v>
      </c>
      <c r="F741" s="30">
        <f t="shared" si="120"/>
        <v>0</v>
      </c>
      <c r="G741" s="23"/>
      <c r="H741" s="31">
        <v>0.12</v>
      </c>
      <c r="I741" s="30">
        <f t="shared" si="124"/>
        <v>0</v>
      </c>
      <c r="J741" s="23"/>
      <c r="K741" s="32">
        <v>0.20269999999999999</v>
      </c>
      <c r="L741" s="30">
        <f t="shared" si="122"/>
        <v>0</v>
      </c>
      <c r="M741" s="23"/>
      <c r="N741" s="33"/>
      <c r="O741" s="30">
        <f t="shared" si="125"/>
        <v>0</v>
      </c>
      <c r="P741" s="865"/>
    </row>
    <row r="742" spans="1:16" x14ac:dyDescent="0.2">
      <c r="A742" s="865"/>
      <c r="B742" s="21" t="s">
        <v>82</v>
      </c>
      <c r="C742" s="21"/>
      <c r="D742" s="23"/>
      <c r="E742" s="24">
        <v>2.15</v>
      </c>
      <c r="F742" s="30">
        <f t="shared" si="120"/>
        <v>0</v>
      </c>
      <c r="G742" s="23"/>
      <c r="H742" s="31"/>
      <c r="I742" s="30">
        <f t="shared" si="124"/>
        <v>0</v>
      </c>
      <c r="J742" s="23"/>
      <c r="K742" s="32">
        <v>0.29189999999999999</v>
      </c>
      <c r="L742" s="30">
        <f t="shared" si="122"/>
        <v>0</v>
      </c>
      <c r="M742" s="23"/>
      <c r="N742" s="33"/>
      <c r="O742" s="30">
        <f t="shared" si="125"/>
        <v>0</v>
      </c>
      <c r="P742" s="865"/>
    </row>
    <row r="743" spans="1:16" x14ac:dyDescent="0.2">
      <c r="A743" s="865"/>
      <c r="B743" s="21" t="s">
        <v>83</v>
      </c>
      <c r="C743" s="21"/>
      <c r="D743" s="23"/>
      <c r="E743" s="24">
        <v>2.78</v>
      </c>
      <c r="F743" s="30">
        <f t="shared" si="120"/>
        <v>0</v>
      </c>
      <c r="G743" s="23"/>
      <c r="H743" s="31"/>
      <c r="I743" s="30">
        <f t="shared" si="124"/>
        <v>0</v>
      </c>
      <c r="J743" s="23"/>
      <c r="K743" s="32">
        <v>0.45600000000000002</v>
      </c>
      <c r="L743" s="30">
        <f t="shared" si="122"/>
        <v>0</v>
      </c>
      <c r="M743" s="23"/>
      <c r="N743" s="33"/>
      <c r="O743" s="30">
        <f t="shared" si="125"/>
        <v>0</v>
      </c>
      <c r="P743" s="865"/>
    </row>
    <row r="744" spans="1:16" x14ac:dyDescent="0.2">
      <c r="A744" s="865"/>
      <c r="B744" s="21" t="s">
        <v>84</v>
      </c>
      <c r="C744" s="21"/>
      <c r="D744" s="23"/>
      <c r="E744" s="24">
        <v>3.72</v>
      </c>
      <c r="F744" s="30">
        <f t="shared" si="120"/>
        <v>0</v>
      </c>
      <c r="G744" s="23"/>
      <c r="H744" s="31"/>
      <c r="I744" s="30">
        <f t="shared" si="124"/>
        <v>0</v>
      </c>
      <c r="J744" s="23"/>
      <c r="K744" s="32">
        <v>0.65669999999999995</v>
      </c>
      <c r="L744" s="30">
        <f t="shared" si="122"/>
        <v>0</v>
      </c>
      <c r="M744" s="23"/>
      <c r="N744" s="33"/>
      <c r="O744" s="30">
        <f t="shared" si="125"/>
        <v>0</v>
      </c>
      <c r="P744" s="865"/>
    </row>
    <row r="745" spans="1:16" x14ac:dyDescent="0.2">
      <c r="A745" s="865"/>
      <c r="B745" s="21" t="s">
        <v>85</v>
      </c>
      <c r="C745" s="21"/>
      <c r="D745" s="23"/>
      <c r="E745" s="24">
        <v>3.95</v>
      </c>
      <c r="F745" s="30">
        <f t="shared" si="120"/>
        <v>0</v>
      </c>
      <c r="G745" s="23"/>
      <c r="H745" s="31"/>
      <c r="I745" s="30">
        <f t="shared" si="124"/>
        <v>0</v>
      </c>
      <c r="J745" s="23"/>
      <c r="K745" s="32">
        <v>0.73170000000000002</v>
      </c>
      <c r="L745" s="30">
        <f t="shared" si="122"/>
        <v>0</v>
      </c>
      <c r="M745" s="23"/>
      <c r="N745" s="33"/>
      <c r="O745" s="30">
        <f t="shared" si="125"/>
        <v>0</v>
      </c>
      <c r="P745" s="865"/>
    </row>
    <row r="746" spans="1:16" x14ac:dyDescent="0.2">
      <c r="A746" s="865"/>
      <c r="B746" s="21" t="s">
        <v>86</v>
      </c>
      <c r="C746" s="21"/>
      <c r="D746" s="23"/>
      <c r="E746" s="24">
        <v>4.16</v>
      </c>
      <c r="F746" s="30">
        <f t="shared" si="120"/>
        <v>0</v>
      </c>
      <c r="G746" s="23"/>
      <c r="H746" s="31"/>
      <c r="I746" s="30">
        <f t="shared" si="124"/>
        <v>0</v>
      </c>
      <c r="J746" s="23"/>
      <c r="K746" s="32">
        <v>0.81069999999999998</v>
      </c>
      <c r="L746" s="30">
        <f t="shared" si="122"/>
        <v>0</v>
      </c>
      <c r="M746" s="23"/>
      <c r="N746" s="33"/>
      <c r="O746" s="30">
        <f t="shared" si="125"/>
        <v>0</v>
      </c>
      <c r="P746" s="865"/>
    </row>
    <row r="747" spans="1:16" ht="13.5" thickBot="1" x14ac:dyDescent="0.25">
      <c r="A747" s="865"/>
      <c r="B747" s="34" t="s">
        <v>87</v>
      </c>
      <c r="C747" s="34"/>
      <c r="D747" s="23"/>
      <c r="E747" s="24">
        <v>4.3600000000000003</v>
      </c>
      <c r="F747" s="30">
        <f t="shared" si="120"/>
        <v>0</v>
      </c>
      <c r="G747" s="23"/>
      <c r="H747" s="31"/>
      <c r="I747" s="30">
        <f t="shared" si="124"/>
        <v>0</v>
      </c>
      <c r="J747" s="23"/>
      <c r="K747" s="32">
        <v>0.89380000000000004</v>
      </c>
      <c r="L747" s="30">
        <f t="shared" si="122"/>
        <v>0</v>
      </c>
      <c r="M747" s="23"/>
      <c r="N747" s="33"/>
      <c r="O747" s="30">
        <f t="shared" si="125"/>
        <v>0</v>
      </c>
      <c r="P747" s="865"/>
    </row>
    <row r="748" spans="1:16" ht="16.5" thickBot="1" x14ac:dyDescent="0.3">
      <c r="A748" s="865"/>
      <c r="B748" s="36"/>
      <c r="C748" s="37">
        <f>SUM(C729:C747)</f>
        <v>6</v>
      </c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865"/>
    </row>
    <row r="749" spans="1:16" ht="13.5" thickBot="1" x14ac:dyDescent="0.25">
      <c r="A749" s="865"/>
      <c r="B749" s="23"/>
      <c r="C749" s="38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865"/>
    </row>
    <row r="750" spans="1:16" ht="16.5" thickBot="1" x14ac:dyDescent="0.3">
      <c r="A750" s="865"/>
      <c r="B750" s="23"/>
      <c r="C750" s="39" t="s">
        <v>88</v>
      </c>
      <c r="D750" s="40"/>
      <c r="E750" s="41" t="s">
        <v>89</v>
      </c>
      <c r="F750" s="37">
        <f>SUM(F729:F748)</f>
        <v>6.8999999999999995</v>
      </c>
      <c r="G750" s="42"/>
      <c r="H750" s="43" t="s">
        <v>90</v>
      </c>
      <c r="I750" s="37">
        <f>SUM(I729:I748)</f>
        <v>0</v>
      </c>
      <c r="J750" s="44"/>
      <c r="K750" s="41" t="s">
        <v>91</v>
      </c>
      <c r="L750" s="37">
        <f>SUM(L729:L748)</f>
        <v>0.10920000000000001</v>
      </c>
      <c r="M750" s="44"/>
      <c r="N750" s="41" t="s">
        <v>92</v>
      </c>
      <c r="O750" s="37">
        <f>(SUM(O729:O748)/6)*0.25</f>
        <v>0</v>
      </c>
      <c r="P750" s="865"/>
    </row>
    <row r="751" spans="1:16" ht="13.5" thickBot="1" x14ac:dyDescent="0.25">
      <c r="A751" s="865"/>
      <c r="B751" s="23"/>
      <c r="C751" s="23"/>
      <c r="D751" s="23"/>
      <c r="E751" s="23"/>
      <c r="F751" s="45"/>
      <c r="G751" s="45"/>
      <c r="H751" s="45"/>
      <c r="I751" s="45"/>
      <c r="J751" s="23"/>
      <c r="K751" s="23"/>
      <c r="L751" s="23"/>
      <c r="M751" s="23"/>
      <c r="N751" s="23"/>
      <c r="O751" s="23"/>
      <c r="P751" s="865"/>
    </row>
    <row r="752" spans="1:16" ht="16.5" thickBot="1" x14ac:dyDescent="0.3">
      <c r="A752" s="865"/>
      <c r="B752" s="23"/>
      <c r="C752" s="46" t="s">
        <v>93</v>
      </c>
      <c r="D752" s="47"/>
      <c r="E752" s="47"/>
      <c r="F752" s="47"/>
      <c r="G752" s="47"/>
      <c r="H752" s="47"/>
      <c r="I752" s="48">
        <f>(F750-I750-L750)*0.95</f>
        <v>6.4512599999999987</v>
      </c>
      <c r="J752" s="23"/>
      <c r="K752" s="23"/>
      <c r="L752" s="23"/>
      <c r="M752" s="23"/>
      <c r="N752" s="23"/>
      <c r="O752" s="23"/>
      <c r="P752" s="865"/>
    </row>
    <row r="753" spans="1:16" ht="13.5" thickBot="1" x14ac:dyDescent="0.25">
      <c r="A753" s="865"/>
      <c r="B753" s="23"/>
      <c r="C753" s="23"/>
      <c r="D753" s="23"/>
      <c r="E753" s="23"/>
      <c r="F753" s="45"/>
      <c r="G753" s="45"/>
      <c r="H753" s="45"/>
      <c r="I753" s="45"/>
      <c r="J753" s="23"/>
      <c r="K753" s="23"/>
      <c r="L753" s="23"/>
      <c r="M753" s="23"/>
      <c r="N753" s="23"/>
      <c r="O753" s="23"/>
      <c r="P753" s="865"/>
    </row>
    <row r="754" spans="1:16" ht="16.5" thickBot="1" x14ac:dyDescent="0.3">
      <c r="A754" s="865"/>
      <c r="B754" s="23"/>
      <c r="C754" s="46" t="s">
        <v>94</v>
      </c>
      <c r="D754" s="49"/>
      <c r="E754" s="49"/>
      <c r="F754" s="49"/>
      <c r="G754" s="49"/>
      <c r="H754" s="49"/>
      <c r="I754" s="48">
        <f>((F750-I752)*1.2)</f>
        <v>0.53848800000000097</v>
      </c>
      <c r="J754" s="23"/>
      <c r="K754" s="23">
        <f>+I754</f>
        <v>0.53848800000000097</v>
      </c>
      <c r="L754" s="23"/>
      <c r="M754" s="23"/>
      <c r="N754" s="23"/>
      <c r="O754" s="23"/>
      <c r="P754" s="865"/>
    </row>
    <row r="755" spans="1:16" x14ac:dyDescent="0.2">
      <c r="A755" s="865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865"/>
    </row>
    <row r="756" spans="1:16" ht="18" x14ac:dyDescent="0.25">
      <c r="A756" s="865"/>
      <c r="B756" s="23"/>
      <c r="C756" s="1567" t="s">
        <v>95</v>
      </c>
      <c r="D756" s="1567"/>
      <c r="E756" s="1567"/>
      <c r="F756" s="1567"/>
      <c r="G756" s="23"/>
      <c r="H756" s="23"/>
      <c r="I756" s="23"/>
      <c r="J756" s="23"/>
      <c r="K756" s="23"/>
      <c r="L756" s="23"/>
      <c r="M756" s="23"/>
      <c r="N756" s="23"/>
      <c r="O756" s="23"/>
      <c r="P756" s="865"/>
    </row>
    <row r="757" spans="1:16" ht="13.5" thickBot="1" x14ac:dyDescent="0.25">
      <c r="A757" s="865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865"/>
    </row>
    <row r="758" spans="1:16" ht="13.5" thickBot="1" x14ac:dyDescent="0.25">
      <c r="A758" s="865"/>
      <c r="B758" s="45"/>
      <c r="C758" s="50" t="s">
        <v>96</v>
      </c>
      <c r="D758" s="45"/>
      <c r="E758" s="50" t="s">
        <v>97</v>
      </c>
      <c r="F758" s="51" t="s">
        <v>98</v>
      </c>
      <c r="G758" s="23"/>
      <c r="H758" s="23"/>
      <c r="I758" s="23"/>
      <c r="J758" s="23"/>
      <c r="K758" s="23"/>
      <c r="L758" s="23"/>
      <c r="M758" s="23"/>
      <c r="N758" s="23"/>
      <c r="O758" s="23"/>
      <c r="P758" s="865"/>
    </row>
    <row r="759" spans="1:16" x14ac:dyDescent="0.2">
      <c r="A759" s="865"/>
      <c r="B759" s="21" t="s">
        <v>71</v>
      </c>
      <c r="C759" s="25"/>
      <c r="D759" s="45"/>
      <c r="E759" s="52">
        <v>0.02</v>
      </c>
      <c r="F759" s="53">
        <f>(E759*C759)+C759</f>
        <v>0</v>
      </c>
      <c r="G759" s="23"/>
      <c r="H759" s="23"/>
      <c r="I759" s="23">
        <f>+F750*0.35</f>
        <v>2.4149999999999996</v>
      </c>
      <c r="J759" s="23"/>
      <c r="K759" s="23"/>
      <c r="L759" s="62" t="s">
        <v>100</v>
      </c>
      <c r="M759" s="63"/>
      <c r="N759" s="23"/>
      <c r="O759" s="23"/>
      <c r="P759" s="865"/>
    </row>
    <row r="760" spans="1:16" x14ac:dyDescent="0.2">
      <c r="A760" s="865"/>
      <c r="B760" s="21" t="s">
        <v>72</v>
      </c>
      <c r="C760" s="25">
        <f>+C732</f>
        <v>0</v>
      </c>
      <c r="D760" s="45"/>
      <c r="E760" s="54">
        <v>0.02</v>
      </c>
      <c r="F760" s="55">
        <f>(E760*C760)+C760</f>
        <v>0</v>
      </c>
      <c r="G760" s="23"/>
      <c r="H760" s="23"/>
      <c r="I760" s="23">
        <f>+F750*0.35</f>
        <v>2.4149999999999996</v>
      </c>
      <c r="J760" s="23"/>
      <c r="K760" s="23">
        <f>+F750*0.3</f>
        <v>2.0699999999999998</v>
      </c>
      <c r="L760" s="64">
        <f>+K760*1.2</f>
        <v>2.4839999999999995</v>
      </c>
      <c r="M760" s="65"/>
      <c r="N760" s="23"/>
      <c r="O760" s="23"/>
      <c r="P760" s="865"/>
    </row>
    <row r="761" spans="1:16" x14ac:dyDescent="0.2">
      <c r="A761" s="865"/>
      <c r="B761" s="21" t="s">
        <v>73</v>
      </c>
      <c r="C761" s="25">
        <f>C733</f>
        <v>0</v>
      </c>
      <c r="D761" s="45"/>
      <c r="E761" s="54">
        <v>0.02</v>
      </c>
      <c r="F761" s="55">
        <f>(E761*C761)+C761</f>
        <v>0</v>
      </c>
      <c r="G761" s="23"/>
      <c r="H761" s="23"/>
      <c r="I761" s="23">
        <f>+F750*0.3</f>
        <v>2.0699999999999998</v>
      </c>
      <c r="J761" s="23"/>
      <c r="K761" s="23"/>
      <c r="L761" s="62" t="s">
        <v>101</v>
      </c>
      <c r="M761" s="63"/>
      <c r="N761" s="23"/>
      <c r="O761" s="23"/>
      <c r="P761" s="865"/>
    </row>
    <row r="762" spans="1:16" x14ac:dyDescent="0.2">
      <c r="A762" s="865"/>
      <c r="B762" s="21" t="s">
        <v>74</v>
      </c>
      <c r="C762" s="25">
        <f>C734</f>
        <v>6</v>
      </c>
      <c r="D762" s="45"/>
      <c r="E762" s="54">
        <v>0.03</v>
      </c>
      <c r="F762" s="55">
        <f>(E762*C762)+C762</f>
        <v>6.18</v>
      </c>
      <c r="G762" s="23"/>
      <c r="H762" s="23"/>
      <c r="I762" s="23"/>
      <c r="J762" s="23"/>
      <c r="K762" s="23"/>
      <c r="L762" s="64">
        <f>+I754+L760</f>
        <v>3.0224880000000005</v>
      </c>
      <c r="M762" s="65"/>
      <c r="N762" s="23"/>
      <c r="O762" s="23"/>
      <c r="P762" s="865"/>
    </row>
    <row r="763" spans="1:16" x14ac:dyDescent="0.2">
      <c r="A763" s="865"/>
      <c r="B763" s="21" t="s">
        <v>75</v>
      </c>
      <c r="C763" s="25">
        <f>C735</f>
        <v>0</v>
      </c>
      <c r="D763" s="45"/>
      <c r="E763" s="54">
        <v>0.03</v>
      </c>
      <c r="F763" s="55">
        <f>C763*E763+C763</f>
        <v>0</v>
      </c>
      <c r="G763" s="23"/>
      <c r="H763" s="23"/>
      <c r="I763" s="23"/>
      <c r="J763" s="23"/>
      <c r="K763" s="23"/>
      <c r="L763" s="23"/>
      <c r="M763" s="23"/>
      <c r="N763" s="23"/>
      <c r="O763" s="23"/>
      <c r="P763" s="865"/>
    </row>
    <row r="764" spans="1:16" x14ac:dyDescent="0.2">
      <c r="A764" s="865"/>
      <c r="B764" s="21" t="s">
        <v>76</v>
      </c>
      <c r="C764" s="25">
        <f t="shared" ref="C764:C775" si="126">C736</f>
        <v>0</v>
      </c>
      <c r="D764" s="45"/>
      <c r="E764" s="54">
        <v>0.04</v>
      </c>
      <c r="F764" s="55">
        <f t="shared" ref="F764:F775" si="127">(E764*C764)+C764</f>
        <v>0</v>
      </c>
      <c r="G764" s="23"/>
      <c r="H764" s="23"/>
      <c r="I764" s="23"/>
      <c r="J764" s="23"/>
      <c r="K764" s="23"/>
      <c r="L764" s="23"/>
      <c r="M764" s="23"/>
      <c r="N764" s="23"/>
      <c r="O764" s="23"/>
      <c r="P764" s="865"/>
    </row>
    <row r="765" spans="1:16" x14ac:dyDescent="0.2">
      <c r="A765" s="865"/>
      <c r="B765" s="21" t="s">
        <v>77</v>
      </c>
      <c r="C765" s="25">
        <f t="shared" si="126"/>
        <v>0</v>
      </c>
      <c r="D765" s="45"/>
      <c r="E765" s="54">
        <v>0.04</v>
      </c>
      <c r="F765" s="55">
        <f t="shared" si="127"/>
        <v>0</v>
      </c>
      <c r="G765" s="23"/>
      <c r="H765" s="23"/>
      <c r="I765" s="23"/>
      <c r="J765" s="23"/>
      <c r="K765" s="23"/>
      <c r="L765" s="23"/>
      <c r="M765" s="23"/>
      <c r="N765" s="23"/>
      <c r="O765" s="23"/>
      <c r="P765" s="865"/>
    </row>
    <row r="766" spans="1:16" x14ac:dyDescent="0.2">
      <c r="A766" s="865"/>
      <c r="B766" s="21" t="s">
        <v>78</v>
      </c>
      <c r="C766" s="25">
        <f t="shared" si="126"/>
        <v>0</v>
      </c>
      <c r="D766" s="45"/>
      <c r="E766" s="54">
        <v>0.04</v>
      </c>
      <c r="F766" s="55">
        <f t="shared" si="127"/>
        <v>0</v>
      </c>
      <c r="G766" s="23"/>
      <c r="H766" s="23"/>
      <c r="I766" s="23"/>
      <c r="J766" s="23"/>
      <c r="K766" s="23"/>
      <c r="L766" s="23"/>
      <c r="M766" s="23"/>
      <c r="N766" s="23"/>
      <c r="O766" s="23"/>
      <c r="P766" s="865"/>
    </row>
    <row r="767" spans="1:16" x14ac:dyDescent="0.2">
      <c r="A767" s="865"/>
      <c r="B767" s="21" t="s">
        <v>79</v>
      </c>
      <c r="C767" s="25">
        <f t="shared" si="126"/>
        <v>0</v>
      </c>
      <c r="D767" s="45"/>
      <c r="E767" s="54">
        <v>0.05</v>
      </c>
      <c r="F767" s="55">
        <f t="shared" si="127"/>
        <v>0</v>
      </c>
      <c r="G767" s="23"/>
      <c r="H767" s="23"/>
      <c r="I767" s="23"/>
      <c r="J767" s="23"/>
      <c r="K767" s="23"/>
      <c r="L767" s="23"/>
      <c r="M767" s="23"/>
      <c r="N767" s="23"/>
      <c r="O767" s="23"/>
      <c r="P767" s="865"/>
    </row>
    <row r="768" spans="1:16" x14ac:dyDescent="0.2">
      <c r="A768" s="865"/>
      <c r="B768" s="21" t="s">
        <v>80</v>
      </c>
      <c r="C768" s="25">
        <f t="shared" si="126"/>
        <v>0</v>
      </c>
      <c r="D768" s="45"/>
      <c r="E768" s="54">
        <v>0.05</v>
      </c>
      <c r="F768" s="55">
        <f t="shared" si="127"/>
        <v>0</v>
      </c>
      <c r="G768" s="23"/>
      <c r="H768" s="23"/>
      <c r="I768" s="23"/>
      <c r="J768" s="23"/>
      <c r="K768" s="23"/>
      <c r="L768" s="23"/>
      <c r="M768" s="23"/>
      <c r="N768" s="23"/>
      <c r="O768" s="23"/>
      <c r="P768" s="865"/>
    </row>
    <row r="769" spans="1:16" x14ac:dyDescent="0.2">
      <c r="A769" s="865"/>
      <c r="B769" s="21" t="s">
        <v>81</v>
      </c>
      <c r="C769" s="25">
        <f t="shared" si="126"/>
        <v>0</v>
      </c>
      <c r="D769" s="45"/>
      <c r="E769" s="54">
        <v>0.06</v>
      </c>
      <c r="F769" s="55">
        <f t="shared" si="127"/>
        <v>0</v>
      </c>
      <c r="G769" s="23"/>
      <c r="H769" s="23"/>
      <c r="I769" s="23"/>
      <c r="J769" s="23"/>
      <c r="K769" s="23"/>
      <c r="L769" s="23"/>
      <c r="M769" s="23"/>
      <c r="N769" s="23"/>
      <c r="O769" s="23"/>
      <c r="P769" s="865"/>
    </row>
    <row r="770" spans="1:16" x14ac:dyDescent="0.2">
      <c r="A770" s="865"/>
      <c r="B770" s="21" t="s">
        <v>82</v>
      </c>
      <c r="C770" s="25">
        <f t="shared" si="126"/>
        <v>0</v>
      </c>
      <c r="D770" s="45"/>
      <c r="E770" s="54">
        <v>7.0000000000000007E-2</v>
      </c>
      <c r="F770" s="55">
        <f t="shared" si="127"/>
        <v>0</v>
      </c>
      <c r="G770" s="23"/>
      <c r="H770" s="23"/>
      <c r="I770" s="23"/>
      <c r="J770" s="23"/>
      <c r="K770" s="23"/>
      <c r="L770" s="23"/>
      <c r="M770" s="23"/>
      <c r="N770" s="23"/>
      <c r="O770" s="23"/>
      <c r="P770" s="865"/>
    </row>
    <row r="771" spans="1:16" x14ac:dyDescent="0.2">
      <c r="A771" s="865"/>
      <c r="B771" s="21" t="s">
        <v>83</v>
      </c>
      <c r="C771" s="25">
        <f t="shared" si="126"/>
        <v>0</v>
      </c>
      <c r="D771" s="45"/>
      <c r="E771" s="54"/>
      <c r="F771" s="55">
        <f t="shared" si="127"/>
        <v>0</v>
      </c>
      <c r="G771" s="23"/>
      <c r="H771" s="23"/>
      <c r="I771" s="23"/>
      <c r="J771" s="23"/>
      <c r="K771" s="23"/>
      <c r="L771" s="23"/>
      <c r="M771" s="23"/>
      <c r="N771" s="23"/>
      <c r="O771" s="23"/>
      <c r="P771" s="865"/>
    </row>
    <row r="772" spans="1:16" x14ac:dyDescent="0.2">
      <c r="A772" s="865"/>
      <c r="B772" s="21" t="s">
        <v>84</v>
      </c>
      <c r="C772" s="25">
        <f t="shared" si="126"/>
        <v>0</v>
      </c>
      <c r="D772" s="45"/>
      <c r="E772" s="54"/>
      <c r="F772" s="55">
        <f t="shared" si="127"/>
        <v>0</v>
      </c>
      <c r="G772" s="23"/>
      <c r="H772" s="23"/>
      <c r="I772" s="23"/>
      <c r="J772" s="23"/>
      <c r="K772" s="23"/>
      <c r="L772" s="23"/>
      <c r="M772" s="23"/>
      <c r="N772" s="23"/>
      <c r="O772" s="23"/>
      <c r="P772" s="865"/>
    </row>
    <row r="773" spans="1:16" x14ac:dyDescent="0.2">
      <c r="A773" s="865"/>
      <c r="B773" s="21" t="s">
        <v>85</v>
      </c>
      <c r="C773" s="25">
        <f t="shared" si="126"/>
        <v>0</v>
      </c>
      <c r="D773" s="45"/>
      <c r="E773" s="54"/>
      <c r="F773" s="55">
        <f t="shared" si="127"/>
        <v>0</v>
      </c>
      <c r="G773" s="23"/>
      <c r="H773" s="23"/>
      <c r="I773" s="23"/>
      <c r="J773" s="23"/>
      <c r="K773" s="23"/>
      <c r="L773" s="23"/>
      <c r="M773" s="23"/>
      <c r="N773" s="23"/>
      <c r="O773" s="23"/>
      <c r="P773" s="865"/>
    </row>
    <row r="774" spans="1:16" x14ac:dyDescent="0.2">
      <c r="A774" s="865"/>
      <c r="B774" s="21" t="s">
        <v>86</v>
      </c>
      <c r="C774" s="25">
        <f t="shared" si="126"/>
        <v>0</v>
      </c>
      <c r="D774" s="45"/>
      <c r="E774" s="54"/>
      <c r="F774" s="55">
        <f t="shared" si="127"/>
        <v>0</v>
      </c>
      <c r="G774" s="23"/>
      <c r="H774" s="23"/>
      <c r="I774" s="23"/>
      <c r="J774" s="23"/>
      <c r="K774" s="23"/>
      <c r="L774" s="23"/>
      <c r="M774" s="23"/>
      <c r="N774" s="23"/>
      <c r="O774" s="23"/>
      <c r="P774" s="865"/>
    </row>
    <row r="775" spans="1:16" x14ac:dyDescent="0.2">
      <c r="A775" s="865"/>
      <c r="B775" s="21" t="s">
        <v>87</v>
      </c>
      <c r="C775" s="25">
        <f t="shared" si="126"/>
        <v>0</v>
      </c>
      <c r="D775" s="45"/>
      <c r="E775" s="54"/>
      <c r="F775" s="55">
        <f t="shared" si="127"/>
        <v>0</v>
      </c>
      <c r="G775" s="23"/>
      <c r="H775" s="23"/>
      <c r="I775" s="23"/>
      <c r="J775" s="23"/>
      <c r="K775" s="23"/>
      <c r="L775" s="23"/>
      <c r="M775" s="23"/>
      <c r="N775" s="23"/>
      <c r="O775" s="23"/>
      <c r="P775" s="865"/>
    </row>
    <row r="776" spans="1:16" x14ac:dyDescent="0.2">
      <c r="A776" s="865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865"/>
    </row>
    <row r="778" spans="1:16" x14ac:dyDescent="0.2">
      <c r="A778" s="865"/>
      <c r="B778" s="865"/>
      <c r="C778" s="864" t="s">
        <v>611</v>
      </c>
      <c r="D778" s="61"/>
      <c r="E778" s="61"/>
      <c r="F778" s="865"/>
      <c r="G778" s="865"/>
      <c r="H778" s="865"/>
      <c r="I778" s="865"/>
      <c r="J778" s="865"/>
      <c r="K778" s="865"/>
      <c r="L778" s="865"/>
      <c r="M778" s="865"/>
      <c r="N778" s="865"/>
      <c r="O778" s="865"/>
      <c r="P778" s="865"/>
    </row>
    <row r="779" spans="1:16" ht="13.5" thickBot="1" x14ac:dyDescent="0.25">
      <c r="A779" s="865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865"/>
    </row>
    <row r="780" spans="1:16" ht="13.5" thickBot="1" x14ac:dyDescent="0.25">
      <c r="A780" s="865"/>
      <c r="B780" s="14"/>
      <c r="C780" s="14"/>
      <c r="D780" s="14"/>
      <c r="E780" s="1565" t="s">
        <v>63</v>
      </c>
      <c r="F780" s="1566"/>
      <c r="G780" s="16"/>
      <c r="H780" s="1565" t="s">
        <v>64</v>
      </c>
      <c r="I780" s="1566"/>
      <c r="J780" s="16"/>
      <c r="K780" s="1565" t="s">
        <v>65</v>
      </c>
      <c r="L780" s="1566"/>
      <c r="M780" s="16"/>
      <c r="N780" s="1565" t="s">
        <v>66</v>
      </c>
      <c r="O780" s="1566"/>
      <c r="P780" s="865"/>
    </row>
    <row r="781" spans="1:16" ht="13.5" thickBot="1" x14ac:dyDescent="0.25">
      <c r="A781" s="865"/>
      <c r="B781" s="14"/>
      <c r="C781" s="17" t="s">
        <v>67</v>
      </c>
      <c r="D781" s="14"/>
      <c r="E781" s="18" t="s">
        <v>68</v>
      </c>
      <c r="F781" s="19" t="s">
        <v>69</v>
      </c>
      <c r="G781" s="16"/>
      <c r="H781" s="18" t="s">
        <v>68</v>
      </c>
      <c r="I781" s="19" t="s">
        <v>69</v>
      </c>
      <c r="J781" s="16"/>
      <c r="K781" s="18" t="s">
        <v>68</v>
      </c>
      <c r="L781" s="19" t="s">
        <v>69</v>
      </c>
      <c r="M781" s="16"/>
      <c r="N781" s="18" t="s">
        <v>68</v>
      </c>
      <c r="O781" s="19" t="s">
        <v>70</v>
      </c>
      <c r="P781" s="865"/>
    </row>
    <row r="782" spans="1:16" x14ac:dyDescent="0.2">
      <c r="A782" s="865"/>
      <c r="B782" s="21" t="s">
        <v>71</v>
      </c>
      <c r="C782" s="22"/>
      <c r="D782" s="23"/>
      <c r="E782" s="24">
        <v>0.63</v>
      </c>
      <c r="F782" s="25">
        <f>+E782*C782</f>
        <v>0</v>
      </c>
      <c r="G782" s="23"/>
      <c r="H782" s="26">
        <v>0.06</v>
      </c>
      <c r="I782" s="25">
        <f t="shared" ref="I782:I783" si="128">+H782*C782</f>
        <v>0</v>
      </c>
      <c r="J782" s="23"/>
      <c r="K782" s="27">
        <v>2E-3</v>
      </c>
      <c r="L782" s="25">
        <f>+K782*C782</f>
        <v>0</v>
      </c>
      <c r="M782" s="23"/>
      <c r="N782" s="28">
        <v>1.388E-2</v>
      </c>
      <c r="O782" s="25">
        <f>+N782*C782</f>
        <v>0</v>
      </c>
      <c r="P782" s="865"/>
    </row>
    <row r="783" spans="1:16" x14ac:dyDescent="0.2">
      <c r="A783" s="865"/>
      <c r="B783" s="21" t="s">
        <v>71</v>
      </c>
      <c r="C783" s="22"/>
      <c r="D783" s="23"/>
      <c r="E783" s="24">
        <v>0.63</v>
      </c>
      <c r="F783" s="25">
        <f t="shared" ref="F783" si="129">+E783*C783</f>
        <v>0</v>
      </c>
      <c r="G783" s="23"/>
      <c r="H783" s="26">
        <v>0.06</v>
      </c>
      <c r="I783" s="25">
        <f t="shared" si="128"/>
        <v>0</v>
      </c>
      <c r="J783" s="23"/>
      <c r="K783" s="27">
        <v>2E-3</v>
      </c>
      <c r="L783" s="25">
        <f t="shared" ref="L783" si="130">+K783*C783</f>
        <v>0</v>
      </c>
      <c r="M783" s="23"/>
      <c r="N783" s="28">
        <v>1.388E-2</v>
      </c>
      <c r="O783" s="25">
        <f t="shared" ref="O783" si="131">+N783*C783</f>
        <v>0</v>
      </c>
      <c r="P783" s="865"/>
    </row>
    <row r="784" spans="1:16" x14ac:dyDescent="0.2">
      <c r="A784" s="865"/>
      <c r="B784" s="21" t="s">
        <v>72</v>
      </c>
      <c r="C784" s="29"/>
      <c r="D784" s="23"/>
      <c r="E784" s="24">
        <v>0.65</v>
      </c>
      <c r="F784" s="30">
        <f>+E784*C784</f>
        <v>0</v>
      </c>
      <c r="G784" s="23"/>
      <c r="H784" s="31">
        <v>0.06</v>
      </c>
      <c r="I784" s="30"/>
      <c r="J784" s="23"/>
      <c r="K784" s="32">
        <v>4.5999999999999999E-3</v>
      </c>
      <c r="L784" s="30">
        <f>+K784*C784</f>
        <v>0</v>
      </c>
      <c r="M784" s="23"/>
      <c r="N784" s="33">
        <v>1.7860000000000001E-2</v>
      </c>
      <c r="O784" s="30">
        <f>+N784*C784</f>
        <v>0</v>
      </c>
      <c r="P784" s="865"/>
    </row>
    <row r="785" spans="1:16" x14ac:dyDescent="0.2">
      <c r="A785" s="865"/>
      <c r="B785" s="21" t="s">
        <v>72</v>
      </c>
      <c r="C785" s="29"/>
      <c r="D785" s="23"/>
      <c r="E785" s="24">
        <v>0.65</v>
      </c>
      <c r="F785" s="30">
        <f t="shared" ref="F785:F800" si="132">+E785*C785</f>
        <v>0</v>
      </c>
      <c r="G785" s="23"/>
      <c r="H785" s="31">
        <v>0.06</v>
      </c>
      <c r="I785" s="30">
        <f t="shared" ref="I785" si="133">+H785*C785</f>
        <v>0</v>
      </c>
      <c r="J785" s="23"/>
      <c r="K785" s="32">
        <v>4.5999999999999999E-3</v>
      </c>
      <c r="L785" s="30">
        <f t="shared" ref="L785:L800" si="134">+K785*C785</f>
        <v>0</v>
      </c>
      <c r="M785" s="23"/>
      <c r="N785" s="33">
        <v>1.7860000000000001E-2</v>
      </c>
      <c r="O785" s="30">
        <f t="shared" ref="O785:O786" si="135">+N785*C785</f>
        <v>0</v>
      </c>
      <c r="P785" s="865"/>
    </row>
    <row r="786" spans="1:16" x14ac:dyDescent="0.2">
      <c r="A786" s="865"/>
      <c r="B786" s="21" t="s">
        <v>73</v>
      </c>
      <c r="C786" s="29">
        <v>10</v>
      </c>
      <c r="D786" s="23"/>
      <c r="E786" s="24">
        <v>0.66</v>
      </c>
      <c r="F786" s="30">
        <f t="shared" si="132"/>
        <v>6.6000000000000005</v>
      </c>
      <c r="G786" s="23"/>
      <c r="H786" s="31">
        <v>0.06</v>
      </c>
      <c r="I786" s="30"/>
      <c r="J786" s="23"/>
      <c r="K786" s="32">
        <v>8.0999999999999996E-3</v>
      </c>
      <c r="L786" s="30">
        <f t="shared" si="134"/>
        <v>8.0999999999999989E-2</v>
      </c>
      <c r="M786" s="23"/>
      <c r="N786" s="33">
        <v>2.5000000000000001E-2</v>
      </c>
      <c r="O786" s="30">
        <f t="shared" si="135"/>
        <v>0.25</v>
      </c>
      <c r="P786" s="865"/>
    </row>
    <row r="787" spans="1:16" x14ac:dyDescent="0.2">
      <c r="A787" s="865"/>
      <c r="B787" s="21" t="s">
        <v>74</v>
      </c>
      <c r="C787" s="21"/>
      <c r="D787" s="23"/>
      <c r="E787" s="24">
        <v>0.81</v>
      </c>
      <c r="F787" s="30">
        <f t="shared" si="132"/>
        <v>0</v>
      </c>
      <c r="G787" s="23"/>
      <c r="H787" s="31">
        <v>7.0000000000000007E-2</v>
      </c>
      <c r="I787" s="30"/>
      <c r="J787" s="23"/>
      <c r="K787" s="32">
        <v>1.8200000000000001E-2</v>
      </c>
      <c r="L787" s="30">
        <f t="shared" si="134"/>
        <v>0</v>
      </c>
      <c r="M787" s="23"/>
      <c r="N787" s="33">
        <v>7.8100000000000003E-2</v>
      </c>
      <c r="O787" s="30"/>
      <c r="P787" s="865"/>
    </row>
    <row r="788" spans="1:16" x14ac:dyDescent="0.2">
      <c r="A788" s="865"/>
      <c r="B788" s="21" t="s">
        <v>75</v>
      </c>
      <c r="C788" s="21"/>
      <c r="D788" s="23"/>
      <c r="E788" s="24">
        <v>0.9</v>
      </c>
      <c r="F788" s="30">
        <f t="shared" si="132"/>
        <v>0</v>
      </c>
      <c r="G788" s="23"/>
      <c r="H788" s="31">
        <v>7.4999999999999997E-2</v>
      </c>
      <c r="I788" s="30">
        <f t="shared" ref="I788:I800" si="136">+H788*C788</f>
        <v>0</v>
      </c>
      <c r="J788" s="23"/>
      <c r="K788" s="32">
        <v>3.2399999999999998E-2</v>
      </c>
      <c r="L788" s="30">
        <f t="shared" si="134"/>
        <v>0</v>
      </c>
      <c r="M788" s="23"/>
      <c r="N788" s="33">
        <v>0.156</v>
      </c>
      <c r="O788" s="30">
        <f t="shared" ref="O788:O800" si="137">+N788*C788</f>
        <v>0</v>
      </c>
      <c r="P788" s="865"/>
    </row>
    <row r="789" spans="1:16" x14ac:dyDescent="0.2">
      <c r="A789" s="865"/>
      <c r="B789" s="21" t="s">
        <v>76</v>
      </c>
      <c r="C789" s="21"/>
      <c r="D789" s="23"/>
      <c r="E789" s="24">
        <v>1</v>
      </c>
      <c r="F789" s="30">
        <f t="shared" si="132"/>
        <v>0</v>
      </c>
      <c r="G789" s="23"/>
      <c r="H789" s="31">
        <v>0.08</v>
      </c>
      <c r="I789" s="30">
        <f t="shared" si="136"/>
        <v>0</v>
      </c>
      <c r="J789" s="23"/>
      <c r="K789" s="32">
        <v>5.0700000000000002E-2</v>
      </c>
      <c r="L789" s="30">
        <f t="shared" si="134"/>
        <v>0</v>
      </c>
      <c r="M789" s="23"/>
      <c r="N789" s="33">
        <v>0.23430000000000001</v>
      </c>
      <c r="O789" s="30">
        <f t="shared" si="137"/>
        <v>0</v>
      </c>
      <c r="P789" s="865"/>
    </row>
    <row r="790" spans="1:16" x14ac:dyDescent="0.2">
      <c r="A790" s="865"/>
      <c r="B790" s="21" t="s">
        <v>77</v>
      </c>
      <c r="C790" s="21"/>
      <c r="D790" s="23"/>
      <c r="E790" s="24">
        <v>1.1100000000000001</v>
      </c>
      <c r="F790" s="30">
        <f t="shared" si="132"/>
        <v>0</v>
      </c>
      <c r="G790" s="23"/>
      <c r="H790" s="31">
        <v>8.5000000000000006E-2</v>
      </c>
      <c r="I790" s="30">
        <f t="shared" si="136"/>
        <v>0</v>
      </c>
      <c r="J790" s="23"/>
      <c r="K790" s="32">
        <v>7.2999999999999995E-2</v>
      </c>
      <c r="L790" s="30">
        <f t="shared" si="134"/>
        <v>0</v>
      </c>
      <c r="M790" s="23"/>
      <c r="N790" s="33">
        <v>0.3125</v>
      </c>
      <c r="O790" s="30">
        <f t="shared" si="137"/>
        <v>0</v>
      </c>
      <c r="P790" s="865"/>
    </row>
    <row r="791" spans="1:16" x14ac:dyDescent="0.2">
      <c r="A791" s="865"/>
      <c r="B791" s="21" t="s">
        <v>78</v>
      </c>
      <c r="C791" s="21"/>
      <c r="D791" s="23"/>
      <c r="E791" s="24">
        <v>1.22</v>
      </c>
      <c r="F791" s="30">
        <f t="shared" si="132"/>
        <v>0</v>
      </c>
      <c r="G791" s="23"/>
      <c r="H791" s="31">
        <v>0.09</v>
      </c>
      <c r="I791" s="30">
        <f t="shared" si="136"/>
        <v>0</v>
      </c>
      <c r="J791" s="23"/>
      <c r="K791" s="32">
        <v>9.9299999999999999E-2</v>
      </c>
      <c r="L791" s="30">
        <f t="shared" si="134"/>
        <v>0</v>
      </c>
      <c r="M791" s="23"/>
      <c r="N791" s="33"/>
      <c r="O791" s="30">
        <f t="shared" si="137"/>
        <v>0</v>
      </c>
      <c r="P791" s="865"/>
    </row>
    <row r="792" spans="1:16" x14ac:dyDescent="0.2">
      <c r="A792" s="865"/>
      <c r="B792" s="21" t="s">
        <v>79</v>
      </c>
      <c r="C792" s="21"/>
      <c r="D792" s="23"/>
      <c r="E792" s="24">
        <v>1.4</v>
      </c>
      <c r="F792" s="30">
        <f t="shared" si="132"/>
        <v>0</v>
      </c>
      <c r="G792" s="23"/>
      <c r="H792" s="31">
        <v>0.1</v>
      </c>
      <c r="I792" s="30">
        <f t="shared" si="136"/>
        <v>0</v>
      </c>
      <c r="J792" s="23"/>
      <c r="K792" s="32">
        <v>0.12970000000000001</v>
      </c>
      <c r="L792" s="30">
        <f t="shared" si="134"/>
        <v>0</v>
      </c>
      <c r="M792" s="23"/>
      <c r="N792" s="33">
        <v>0.41660000000000003</v>
      </c>
      <c r="O792" s="30">
        <f t="shared" si="137"/>
        <v>0</v>
      </c>
      <c r="P792" s="865"/>
    </row>
    <row r="793" spans="1:16" x14ac:dyDescent="0.2">
      <c r="A793" s="865"/>
      <c r="B793" s="21" t="s">
        <v>80</v>
      </c>
      <c r="C793" s="21"/>
      <c r="D793" s="23"/>
      <c r="E793" s="24">
        <v>1.67</v>
      </c>
      <c r="F793" s="30">
        <f t="shared" si="132"/>
        <v>0</v>
      </c>
      <c r="G793" s="23"/>
      <c r="H793" s="31">
        <v>0.115</v>
      </c>
      <c r="I793" s="30">
        <f t="shared" si="136"/>
        <v>0</v>
      </c>
      <c r="J793" s="23"/>
      <c r="K793" s="32">
        <v>0.16420000000000001</v>
      </c>
      <c r="L793" s="30">
        <f t="shared" si="134"/>
        <v>0</v>
      </c>
      <c r="M793" s="23"/>
      <c r="N793" s="33"/>
      <c r="O793" s="30">
        <f t="shared" si="137"/>
        <v>0</v>
      </c>
      <c r="P793" s="865"/>
    </row>
    <row r="794" spans="1:16" x14ac:dyDescent="0.2">
      <c r="A794" s="865"/>
      <c r="B794" s="21" t="s">
        <v>81</v>
      </c>
      <c r="C794" s="21"/>
      <c r="D794" s="23"/>
      <c r="E794" s="24">
        <v>1.8</v>
      </c>
      <c r="F794" s="30">
        <f t="shared" si="132"/>
        <v>0</v>
      </c>
      <c r="G794" s="23"/>
      <c r="H794" s="31">
        <v>0.12</v>
      </c>
      <c r="I794" s="30">
        <f t="shared" si="136"/>
        <v>0</v>
      </c>
      <c r="J794" s="23"/>
      <c r="K794" s="32">
        <v>0.20269999999999999</v>
      </c>
      <c r="L794" s="30">
        <f t="shared" si="134"/>
        <v>0</v>
      </c>
      <c r="M794" s="23"/>
      <c r="N794" s="33"/>
      <c r="O794" s="30">
        <f t="shared" si="137"/>
        <v>0</v>
      </c>
      <c r="P794" s="865"/>
    </row>
    <row r="795" spans="1:16" x14ac:dyDescent="0.2">
      <c r="A795" s="865"/>
      <c r="B795" s="21" t="s">
        <v>82</v>
      </c>
      <c r="C795" s="21"/>
      <c r="D795" s="23"/>
      <c r="E795" s="24">
        <v>2.15</v>
      </c>
      <c r="F795" s="30">
        <f t="shared" si="132"/>
        <v>0</v>
      </c>
      <c r="G795" s="23"/>
      <c r="H795" s="31"/>
      <c r="I795" s="30">
        <f t="shared" si="136"/>
        <v>0</v>
      </c>
      <c r="J795" s="23"/>
      <c r="K795" s="32">
        <v>0.29189999999999999</v>
      </c>
      <c r="L795" s="30">
        <f t="shared" si="134"/>
        <v>0</v>
      </c>
      <c r="M795" s="23"/>
      <c r="N795" s="33"/>
      <c r="O795" s="30">
        <f t="shared" si="137"/>
        <v>0</v>
      </c>
      <c r="P795" s="865"/>
    </row>
    <row r="796" spans="1:16" x14ac:dyDescent="0.2">
      <c r="A796" s="865"/>
      <c r="B796" s="21" t="s">
        <v>83</v>
      </c>
      <c r="C796" s="21"/>
      <c r="D796" s="23"/>
      <c r="E796" s="24">
        <v>2.78</v>
      </c>
      <c r="F796" s="30">
        <f t="shared" si="132"/>
        <v>0</v>
      </c>
      <c r="G796" s="23"/>
      <c r="H796" s="31"/>
      <c r="I796" s="30">
        <f t="shared" si="136"/>
        <v>0</v>
      </c>
      <c r="J796" s="23"/>
      <c r="K796" s="32">
        <v>0.45600000000000002</v>
      </c>
      <c r="L796" s="30">
        <f t="shared" si="134"/>
        <v>0</v>
      </c>
      <c r="M796" s="23"/>
      <c r="N796" s="33"/>
      <c r="O796" s="30">
        <f t="shared" si="137"/>
        <v>0</v>
      </c>
      <c r="P796" s="865"/>
    </row>
    <row r="797" spans="1:16" x14ac:dyDescent="0.2">
      <c r="A797" s="865"/>
      <c r="B797" s="21" t="s">
        <v>84</v>
      </c>
      <c r="C797" s="21"/>
      <c r="D797" s="23"/>
      <c r="E797" s="24">
        <v>3.72</v>
      </c>
      <c r="F797" s="30">
        <f t="shared" si="132"/>
        <v>0</v>
      </c>
      <c r="G797" s="23"/>
      <c r="H797" s="31"/>
      <c r="I797" s="30">
        <f t="shared" si="136"/>
        <v>0</v>
      </c>
      <c r="J797" s="23"/>
      <c r="K797" s="32">
        <v>0.65669999999999995</v>
      </c>
      <c r="L797" s="30">
        <f t="shared" si="134"/>
        <v>0</v>
      </c>
      <c r="M797" s="23"/>
      <c r="N797" s="33"/>
      <c r="O797" s="30">
        <f t="shared" si="137"/>
        <v>0</v>
      </c>
      <c r="P797" s="865"/>
    </row>
    <row r="798" spans="1:16" x14ac:dyDescent="0.2">
      <c r="A798" s="865"/>
      <c r="B798" s="21" t="s">
        <v>85</v>
      </c>
      <c r="C798" s="21"/>
      <c r="D798" s="23"/>
      <c r="E798" s="24">
        <v>3.95</v>
      </c>
      <c r="F798" s="30">
        <f t="shared" si="132"/>
        <v>0</v>
      </c>
      <c r="G798" s="23"/>
      <c r="H798" s="31"/>
      <c r="I798" s="30">
        <f t="shared" si="136"/>
        <v>0</v>
      </c>
      <c r="J798" s="23"/>
      <c r="K798" s="32">
        <v>0.73170000000000002</v>
      </c>
      <c r="L798" s="30">
        <f t="shared" si="134"/>
        <v>0</v>
      </c>
      <c r="M798" s="23"/>
      <c r="N798" s="33"/>
      <c r="O798" s="30">
        <f t="shared" si="137"/>
        <v>0</v>
      </c>
      <c r="P798" s="865"/>
    </row>
    <row r="799" spans="1:16" x14ac:dyDescent="0.2">
      <c r="A799" s="865"/>
      <c r="B799" s="21" t="s">
        <v>86</v>
      </c>
      <c r="C799" s="21"/>
      <c r="D799" s="23"/>
      <c r="E799" s="24">
        <v>4.16</v>
      </c>
      <c r="F799" s="30">
        <f t="shared" si="132"/>
        <v>0</v>
      </c>
      <c r="G799" s="23"/>
      <c r="H799" s="31"/>
      <c r="I799" s="30">
        <f t="shared" si="136"/>
        <v>0</v>
      </c>
      <c r="J799" s="23"/>
      <c r="K799" s="32">
        <v>0.81069999999999998</v>
      </c>
      <c r="L799" s="30">
        <f t="shared" si="134"/>
        <v>0</v>
      </c>
      <c r="M799" s="23"/>
      <c r="N799" s="33"/>
      <c r="O799" s="30">
        <f t="shared" si="137"/>
        <v>0</v>
      </c>
      <c r="P799" s="865"/>
    </row>
    <row r="800" spans="1:16" ht="13.5" thickBot="1" x14ac:dyDescent="0.25">
      <c r="A800" s="865"/>
      <c r="B800" s="34" t="s">
        <v>87</v>
      </c>
      <c r="C800" s="34"/>
      <c r="D800" s="23"/>
      <c r="E800" s="24">
        <v>4.3600000000000003</v>
      </c>
      <c r="F800" s="30">
        <f t="shared" si="132"/>
        <v>0</v>
      </c>
      <c r="G800" s="23"/>
      <c r="H800" s="31"/>
      <c r="I800" s="30">
        <f t="shared" si="136"/>
        <v>0</v>
      </c>
      <c r="J800" s="23"/>
      <c r="K800" s="32">
        <v>0.89380000000000004</v>
      </c>
      <c r="L800" s="30">
        <f t="shared" si="134"/>
        <v>0</v>
      </c>
      <c r="M800" s="23"/>
      <c r="N800" s="33"/>
      <c r="O800" s="30">
        <f t="shared" si="137"/>
        <v>0</v>
      </c>
      <c r="P800" s="865"/>
    </row>
    <row r="801" spans="1:16" ht="16.5" thickBot="1" x14ac:dyDescent="0.3">
      <c r="A801" s="865"/>
      <c r="B801" s="36"/>
      <c r="C801" s="37">
        <f>SUM(C782:C800)</f>
        <v>10</v>
      </c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865"/>
    </row>
    <row r="802" spans="1:16" ht="13.5" thickBot="1" x14ac:dyDescent="0.25">
      <c r="A802" s="865"/>
      <c r="B802" s="23"/>
      <c r="C802" s="38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865"/>
    </row>
    <row r="803" spans="1:16" ht="16.5" thickBot="1" x14ac:dyDescent="0.3">
      <c r="A803" s="865"/>
      <c r="B803" s="23"/>
      <c r="C803" s="39" t="s">
        <v>88</v>
      </c>
      <c r="D803" s="40"/>
      <c r="E803" s="41" t="s">
        <v>89</v>
      </c>
      <c r="F803" s="37">
        <f>SUM(F782:F801)</f>
        <v>6.6000000000000005</v>
      </c>
      <c r="G803" s="42"/>
      <c r="H803" s="43" t="s">
        <v>90</v>
      </c>
      <c r="I803" s="37">
        <f>SUM(I782:I801)</f>
        <v>0</v>
      </c>
      <c r="J803" s="44"/>
      <c r="K803" s="41" t="s">
        <v>91</v>
      </c>
      <c r="L803" s="37">
        <f>SUM(L782:L801)</f>
        <v>8.0999999999999989E-2</v>
      </c>
      <c r="M803" s="44"/>
      <c r="N803" s="41" t="s">
        <v>92</v>
      </c>
      <c r="O803" s="37">
        <f>(SUM(O782:O801)/6)*0.25</f>
        <v>1.0416666666666666E-2</v>
      </c>
      <c r="P803" s="865"/>
    </row>
    <row r="804" spans="1:16" ht="13.5" thickBot="1" x14ac:dyDescent="0.25">
      <c r="A804" s="865"/>
      <c r="B804" s="23"/>
      <c r="C804" s="23"/>
      <c r="D804" s="23"/>
      <c r="E804" s="23"/>
      <c r="F804" s="45"/>
      <c r="G804" s="45"/>
      <c r="H804" s="45"/>
      <c r="I804" s="45"/>
      <c r="J804" s="23"/>
      <c r="K804" s="23"/>
      <c r="L804" s="23"/>
      <c r="M804" s="23"/>
      <c r="N804" s="23"/>
      <c r="O804" s="23"/>
      <c r="P804" s="865"/>
    </row>
    <row r="805" spans="1:16" ht="16.5" thickBot="1" x14ac:dyDescent="0.3">
      <c r="A805" s="865"/>
      <c r="B805" s="23"/>
      <c r="C805" s="46" t="s">
        <v>93</v>
      </c>
      <c r="D805" s="47"/>
      <c r="E805" s="47"/>
      <c r="F805" s="47"/>
      <c r="G805" s="47"/>
      <c r="H805" s="47"/>
      <c r="I805" s="48">
        <f>(F803-I803-L803)*0.95</f>
        <v>6.1930499999999995</v>
      </c>
      <c r="J805" s="23"/>
      <c r="K805" s="23"/>
      <c r="L805" s="23"/>
      <c r="M805" s="23"/>
      <c r="N805" s="23"/>
      <c r="O805" s="23"/>
      <c r="P805" s="865"/>
    </row>
    <row r="806" spans="1:16" ht="13.5" thickBot="1" x14ac:dyDescent="0.25">
      <c r="A806" s="865"/>
      <c r="B806" s="23"/>
      <c r="C806" s="23"/>
      <c r="D806" s="23"/>
      <c r="E806" s="23"/>
      <c r="F806" s="45"/>
      <c r="G806" s="45"/>
      <c r="H806" s="45"/>
      <c r="I806" s="45"/>
      <c r="J806" s="23"/>
      <c r="K806" s="23"/>
      <c r="L806" s="23"/>
      <c r="M806" s="23"/>
      <c r="N806" s="23"/>
      <c r="O806" s="23"/>
      <c r="P806" s="865"/>
    </row>
    <row r="807" spans="1:16" ht="16.5" thickBot="1" x14ac:dyDescent="0.3">
      <c r="A807" s="865"/>
      <c r="B807" s="23"/>
      <c r="C807" s="46" t="s">
        <v>94</v>
      </c>
      <c r="D807" s="49"/>
      <c r="E807" s="49"/>
      <c r="F807" s="49"/>
      <c r="G807" s="49"/>
      <c r="H807" s="49"/>
      <c r="I807" s="48">
        <f>((F803-I805)*1.2)</f>
        <v>0.48834000000000122</v>
      </c>
      <c r="J807" s="23"/>
      <c r="K807" s="23">
        <f>+I807</f>
        <v>0.48834000000000122</v>
      </c>
      <c r="L807" s="23"/>
      <c r="M807" s="23"/>
      <c r="N807" s="23"/>
      <c r="O807" s="23"/>
      <c r="P807" s="865"/>
    </row>
    <row r="808" spans="1:16" x14ac:dyDescent="0.2">
      <c r="A808" s="865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865"/>
    </row>
    <row r="809" spans="1:16" ht="18" x14ac:dyDescent="0.25">
      <c r="A809" s="865"/>
      <c r="B809" s="23"/>
      <c r="C809" s="1567" t="s">
        <v>95</v>
      </c>
      <c r="D809" s="1567"/>
      <c r="E809" s="1567"/>
      <c r="F809" s="1567"/>
      <c r="G809" s="23"/>
      <c r="H809" s="23"/>
      <c r="I809" s="23"/>
      <c r="J809" s="23"/>
      <c r="K809" s="23"/>
      <c r="L809" s="23"/>
      <c r="M809" s="23"/>
      <c r="N809" s="23"/>
      <c r="O809" s="23"/>
      <c r="P809" s="865"/>
    </row>
    <row r="810" spans="1:16" ht="13.5" thickBot="1" x14ac:dyDescent="0.25">
      <c r="A810" s="865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865"/>
    </row>
    <row r="811" spans="1:16" ht="13.5" thickBot="1" x14ac:dyDescent="0.25">
      <c r="A811" s="865"/>
      <c r="B811" s="45"/>
      <c r="C811" s="50" t="s">
        <v>96</v>
      </c>
      <c r="D811" s="45"/>
      <c r="E811" s="50" t="s">
        <v>97</v>
      </c>
      <c r="F811" s="51" t="s">
        <v>98</v>
      </c>
      <c r="G811" s="23"/>
      <c r="H811" s="23"/>
      <c r="I811" s="23"/>
      <c r="J811" s="23"/>
      <c r="K811" s="23"/>
      <c r="L811" s="23"/>
      <c r="M811" s="23"/>
      <c r="N811" s="23"/>
      <c r="O811" s="23"/>
      <c r="P811" s="865"/>
    </row>
    <row r="812" spans="1:16" x14ac:dyDescent="0.2">
      <c r="A812" s="865"/>
      <c r="B812" s="21" t="s">
        <v>71</v>
      </c>
      <c r="C812" s="25"/>
      <c r="D812" s="45"/>
      <c r="E812" s="52">
        <v>0.02</v>
      </c>
      <c r="F812" s="53">
        <f>(E812*C812)+C812</f>
        <v>0</v>
      </c>
      <c r="G812" s="23"/>
      <c r="H812" s="23"/>
      <c r="I812" s="23">
        <f>+F803*0.35</f>
        <v>2.31</v>
      </c>
      <c r="J812" s="23"/>
      <c r="K812" s="23"/>
      <c r="L812" s="62" t="s">
        <v>100</v>
      </c>
      <c r="M812" s="63"/>
      <c r="N812" s="23"/>
      <c r="O812" s="23"/>
      <c r="P812" s="865"/>
    </row>
    <row r="813" spans="1:16" x14ac:dyDescent="0.2">
      <c r="A813" s="865"/>
      <c r="B813" s="21" t="s">
        <v>72</v>
      </c>
      <c r="C813" s="25">
        <f>+C785</f>
        <v>0</v>
      </c>
      <c r="D813" s="45"/>
      <c r="E813" s="54">
        <v>0.02</v>
      </c>
      <c r="F813" s="55">
        <f>(E813*C813)+C813</f>
        <v>0</v>
      </c>
      <c r="G813" s="23"/>
      <c r="H813" s="23"/>
      <c r="I813" s="23">
        <f>+F803*0.35</f>
        <v>2.31</v>
      </c>
      <c r="J813" s="23"/>
      <c r="K813" s="23">
        <f>+F803*0.3</f>
        <v>1.98</v>
      </c>
      <c r="L813" s="64">
        <f>+K813*1.2</f>
        <v>2.3759999999999999</v>
      </c>
      <c r="M813" s="65"/>
      <c r="N813" s="23"/>
      <c r="O813" s="23"/>
      <c r="P813" s="865"/>
    </row>
    <row r="814" spans="1:16" x14ac:dyDescent="0.2">
      <c r="A814" s="865"/>
      <c r="B814" s="21" t="s">
        <v>73</v>
      </c>
      <c r="C814" s="25">
        <f>C786</f>
        <v>10</v>
      </c>
      <c r="D814" s="45"/>
      <c r="E814" s="54">
        <v>0.02</v>
      </c>
      <c r="F814" s="55">
        <f>(E814*C814)+C814</f>
        <v>10.199999999999999</v>
      </c>
      <c r="G814" s="23"/>
      <c r="H814" s="23"/>
      <c r="I814" s="23">
        <f>+F803*0.3</f>
        <v>1.98</v>
      </c>
      <c r="J814" s="23"/>
      <c r="K814" s="23"/>
      <c r="L814" s="62" t="s">
        <v>101</v>
      </c>
      <c r="M814" s="63"/>
      <c r="N814" s="23"/>
      <c r="O814" s="23"/>
      <c r="P814" s="865"/>
    </row>
    <row r="815" spans="1:16" x14ac:dyDescent="0.2">
      <c r="A815" s="865"/>
      <c r="B815" s="21" t="s">
        <v>74</v>
      </c>
      <c r="C815" s="25">
        <f>C787</f>
        <v>0</v>
      </c>
      <c r="D815" s="45"/>
      <c r="E815" s="54">
        <v>0.03</v>
      </c>
      <c r="F815" s="55">
        <f>(E815*C815)+C815</f>
        <v>0</v>
      </c>
      <c r="G815" s="23"/>
      <c r="H815" s="23"/>
      <c r="I815" s="23"/>
      <c r="J815" s="23"/>
      <c r="K815" s="23"/>
      <c r="L815" s="64">
        <f>+I807+L813</f>
        <v>2.8643400000000012</v>
      </c>
      <c r="M815" s="65"/>
      <c r="N815" s="23"/>
      <c r="O815" s="23"/>
      <c r="P815" s="865"/>
    </row>
    <row r="816" spans="1:16" x14ac:dyDescent="0.2">
      <c r="A816" s="865"/>
      <c r="B816" s="21" t="s">
        <v>75</v>
      </c>
      <c r="C816" s="25">
        <f>C788</f>
        <v>0</v>
      </c>
      <c r="D816" s="45"/>
      <c r="E816" s="54">
        <v>0.03</v>
      </c>
      <c r="F816" s="55">
        <f>C816*E816+C816</f>
        <v>0</v>
      </c>
      <c r="G816" s="23"/>
      <c r="H816" s="23"/>
      <c r="I816" s="23"/>
      <c r="J816" s="23"/>
      <c r="K816" s="23"/>
      <c r="L816" s="23"/>
      <c r="M816" s="23"/>
      <c r="N816" s="23"/>
      <c r="O816" s="23"/>
      <c r="P816" s="865"/>
    </row>
    <row r="817" spans="1:16" x14ac:dyDescent="0.2">
      <c r="A817" s="865"/>
      <c r="B817" s="21" t="s">
        <v>76</v>
      </c>
      <c r="C817" s="25">
        <f t="shared" ref="C817:C828" si="138">C789</f>
        <v>0</v>
      </c>
      <c r="D817" s="45"/>
      <c r="E817" s="54">
        <v>0.04</v>
      </c>
      <c r="F817" s="55">
        <f t="shared" ref="F817:F828" si="139">(E817*C817)+C817</f>
        <v>0</v>
      </c>
      <c r="G817" s="23"/>
      <c r="H817" s="23"/>
      <c r="I817" s="23"/>
      <c r="J817" s="23"/>
      <c r="K817" s="23"/>
      <c r="L817" s="23"/>
      <c r="M817" s="23"/>
      <c r="N817" s="23"/>
      <c r="O817" s="23"/>
      <c r="P817" s="865"/>
    </row>
    <row r="818" spans="1:16" x14ac:dyDescent="0.2">
      <c r="A818" s="865"/>
      <c r="B818" s="21" t="s">
        <v>77</v>
      </c>
      <c r="C818" s="25">
        <f t="shared" si="138"/>
        <v>0</v>
      </c>
      <c r="D818" s="45"/>
      <c r="E818" s="54">
        <v>0.04</v>
      </c>
      <c r="F818" s="55">
        <f t="shared" si="139"/>
        <v>0</v>
      </c>
      <c r="G818" s="23"/>
      <c r="H818" s="23"/>
      <c r="I818" s="23"/>
      <c r="J818" s="23"/>
      <c r="K818" s="23"/>
      <c r="L818" s="23"/>
      <c r="M818" s="23"/>
      <c r="N818" s="23"/>
      <c r="O818" s="23"/>
      <c r="P818" s="865"/>
    </row>
    <row r="819" spans="1:16" x14ac:dyDescent="0.2">
      <c r="A819" s="865"/>
      <c r="B819" s="21" t="s">
        <v>78</v>
      </c>
      <c r="C819" s="25">
        <f t="shared" si="138"/>
        <v>0</v>
      </c>
      <c r="D819" s="45"/>
      <c r="E819" s="54">
        <v>0.04</v>
      </c>
      <c r="F819" s="55">
        <f t="shared" si="139"/>
        <v>0</v>
      </c>
      <c r="G819" s="23"/>
      <c r="H819" s="23"/>
      <c r="I819" s="23"/>
      <c r="J819" s="23"/>
      <c r="K819" s="23"/>
      <c r="L819" s="23"/>
      <c r="M819" s="23"/>
      <c r="N819" s="23"/>
      <c r="O819" s="23"/>
      <c r="P819" s="865"/>
    </row>
    <row r="820" spans="1:16" x14ac:dyDescent="0.2">
      <c r="A820" s="865"/>
      <c r="B820" s="21" t="s">
        <v>79</v>
      </c>
      <c r="C820" s="25">
        <f t="shared" si="138"/>
        <v>0</v>
      </c>
      <c r="D820" s="45"/>
      <c r="E820" s="54">
        <v>0.05</v>
      </c>
      <c r="F820" s="55">
        <f t="shared" si="139"/>
        <v>0</v>
      </c>
      <c r="G820" s="23"/>
      <c r="H820" s="23"/>
      <c r="I820" s="23"/>
      <c r="J820" s="23"/>
      <c r="K820" s="23"/>
      <c r="L820" s="23"/>
      <c r="M820" s="23"/>
      <c r="N820" s="23"/>
      <c r="O820" s="23"/>
      <c r="P820" s="865"/>
    </row>
    <row r="821" spans="1:16" x14ac:dyDescent="0.2">
      <c r="A821" s="865"/>
      <c r="B821" s="21" t="s">
        <v>80</v>
      </c>
      <c r="C821" s="25">
        <f t="shared" si="138"/>
        <v>0</v>
      </c>
      <c r="D821" s="45"/>
      <c r="E821" s="54">
        <v>0.05</v>
      </c>
      <c r="F821" s="55">
        <f t="shared" si="139"/>
        <v>0</v>
      </c>
      <c r="G821" s="23"/>
      <c r="H821" s="23"/>
      <c r="I821" s="23"/>
      <c r="J821" s="23"/>
      <c r="K821" s="23"/>
      <c r="L821" s="23"/>
      <c r="M821" s="23"/>
      <c r="N821" s="23"/>
      <c r="O821" s="23"/>
      <c r="P821" s="865"/>
    </row>
    <row r="822" spans="1:16" x14ac:dyDescent="0.2">
      <c r="A822" s="865"/>
      <c r="B822" s="21" t="s">
        <v>81</v>
      </c>
      <c r="C822" s="25">
        <f t="shared" si="138"/>
        <v>0</v>
      </c>
      <c r="D822" s="45"/>
      <c r="E822" s="54">
        <v>0.06</v>
      </c>
      <c r="F822" s="55">
        <f t="shared" si="139"/>
        <v>0</v>
      </c>
      <c r="G822" s="23"/>
      <c r="H822" s="23"/>
      <c r="I822" s="23"/>
      <c r="J822" s="23"/>
      <c r="K822" s="23"/>
      <c r="L822" s="23"/>
      <c r="M822" s="23"/>
      <c r="N822" s="23"/>
      <c r="O822" s="23"/>
      <c r="P822" s="865"/>
    </row>
    <row r="823" spans="1:16" x14ac:dyDescent="0.2">
      <c r="A823" s="865"/>
      <c r="B823" s="21" t="s">
        <v>82</v>
      </c>
      <c r="C823" s="25">
        <f t="shared" si="138"/>
        <v>0</v>
      </c>
      <c r="D823" s="45"/>
      <c r="E823" s="54">
        <v>7.0000000000000007E-2</v>
      </c>
      <c r="F823" s="55">
        <f t="shared" si="139"/>
        <v>0</v>
      </c>
      <c r="G823" s="23"/>
      <c r="H823" s="23"/>
      <c r="I823" s="23"/>
      <c r="J823" s="23"/>
      <c r="K823" s="23"/>
      <c r="L823" s="23"/>
      <c r="M823" s="23"/>
      <c r="N823" s="23"/>
      <c r="O823" s="23"/>
      <c r="P823" s="865"/>
    </row>
    <row r="824" spans="1:16" x14ac:dyDescent="0.2">
      <c r="A824" s="865"/>
      <c r="B824" s="21" t="s">
        <v>83</v>
      </c>
      <c r="C824" s="25">
        <f t="shared" si="138"/>
        <v>0</v>
      </c>
      <c r="D824" s="45"/>
      <c r="E824" s="54"/>
      <c r="F824" s="55">
        <f t="shared" si="139"/>
        <v>0</v>
      </c>
      <c r="G824" s="23"/>
      <c r="H824" s="23"/>
      <c r="I824" s="23"/>
      <c r="J824" s="23"/>
      <c r="K824" s="23"/>
      <c r="L824" s="23"/>
      <c r="M824" s="23"/>
      <c r="N824" s="23"/>
      <c r="O824" s="23"/>
      <c r="P824" s="865"/>
    </row>
    <row r="825" spans="1:16" x14ac:dyDescent="0.2">
      <c r="A825" s="865"/>
      <c r="B825" s="21" t="s">
        <v>84</v>
      </c>
      <c r="C825" s="25">
        <f t="shared" si="138"/>
        <v>0</v>
      </c>
      <c r="D825" s="45"/>
      <c r="E825" s="54"/>
      <c r="F825" s="55">
        <f t="shared" si="139"/>
        <v>0</v>
      </c>
      <c r="G825" s="23"/>
      <c r="H825" s="23"/>
      <c r="I825" s="23"/>
      <c r="J825" s="23"/>
      <c r="K825" s="23"/>
      <c r="L825" s="23"/>
      <c r="M825" s="23"/>
      <c r="N825" s="23"/>
      <c r="O825" s="23"/>
      <c r="P825" s="865"/>
    </row>
    <row r="826" spans="1:16" x14ac:dyDescent="0.2">
      <c r="A826" s="865"/>
      <c r="B826" s="21" t="s">
        <v>85</v>
      </c>
      <c r="C826" s="25">
        <f t="shared" si="138"/>
        <v>0</v>
      </c>
      <c r="D826" s="45"/>
      <c r="E826" s="54"/>
      <c r="F826" s="55">
        <f t="shared" si="139"/>
        <v>0</v>
      </c>
      <c r="G826" s="23"/>
      <c r="H826" s="23"/>
      <c r="I826" s="23"/>
      <c r="J826" s="23"/>
      <c r="K826" s="23"/>
      <c r="L826" s="23"/>
      <c r="M826" s="23"/>
      <c r="N826" s="23"/>
      <c r="O826" s="23"/>
      <c r="P826" s="865"/>
    </row>
    <row r="827" spans="1:16" x14ac:dyDescent="0.2">
      <c r="A827" s="865"/>
      <c r="B827" s="21" t="s">
        <v>86</v>
      </c>
      <c r="C827" s="25">
        <f t="shared" si="138"/>
        <v>0</v>
      </c>
      <c r="D827" s="45"/>
      <c r="E827" s="54"/>
      <c r="F827" s="55">
        <f t="shared" si="139"/>
        <v>0</v>
      </c>
      <c r="G827" s="23"/>
      <c r="H827" s="23"/>
      <c r="I827" s="23"/>
      <c r="J827" s="23"/>
      <c r="K827" s="23"/>
      <c r="L827" s="23"/>
      <c r="M827" s="23"/>
      <c r="N827" s="23"/>
      <c r="O827" s="23"/>
      <c r="P827" s="865"/>
    </row>
    <row r="828" spans="1:16" x14ac:dyDescent="0.2">
      <c r="A828" s="865"/>
      <c r="B828" s="21" t="s">
        <v>87</v>
      </c>
      <c r="C828" s="25">
        <f t="shared" si="138"/>
        <v>0</v>
      </c>
      <c r="D828" s="45"/>
      <c r="E828" s="54"/>
      <c r="F828" s="55">
        <f t="shared" si="139"/>
        <v>0</v>
      </c>
      <c r="G828" s="23"/>
      <c r="H828" s="23"/>
      <c r="I828" s="23"/>
      <c r="J828" s="23"/>
      <c r="K828" s="23"/>
      <c r="L828" s="23"/>
      <c r="M828" s="23"/>
      <c r="N828" s="23"/>
      <c r="O828" s="23"/>
      <c r="P828" s="865"/>
    </row>
  </sheetData>
  <mergeCells count="76">
    <mergeCell ref="F328:G328"/>
    <mergeCell ref="I328:J328"/>
    <mergeCell ref="L328:M328"/>
    <mergeCell ref="O328:P328"/>
    <mergeCell ref="D356:G356"/>
    <mergeCell ref="H170:I170"/>
    <mergeCell ref="K170:L170"/>
    <mergeCell ref="N170:O170"/>
    <mergeCell ref="C198:F198"/>
    <mergeCell ref="E673:F673"/>
    <mergeCell ref="H673:I673"/>
    <mergeCell ref="K673:L673"/>
    <mergeCell ref="N673:O673"/>
    <mergeCell ref="E170:F170"/>
    <mergeCell ref="C431:F431"/>
    <mergeCell ref="E456:F456"/>
    <mergeCell ref="H456:I456"/>
    <mergeCell ref="K456:L456"/>
    <mergeCell ref="N456:O456"/>
    <mergeCell ref="C486:F486"/>
    <mergeCell ref="E511:F511"/>
    <mergeCell ref="C702:F702"/>
    <mergeCell ref="A5:P5"/>
    <mergeCell ref="E8:F8"/>
    <mergeCell ref="H8:I8"/>
    <mergeCell ref="K8:L8"/>
    <mergeCell ref="N8:O8"/>
    <mergeCell ref="C36:F36"/>
    <mergeCell ref="E401:F401"/>
    <mergeCell ref="H401:I401"/>
    <mergeCell ref="K401:L401"/>
    <mergeCell ref="N401:O401"/>
    <mergeCell ref="E61:F61"/>
    <mergeCell ref="H61:I61"/>
    <mergeCell ref="K61:L61"/>
    <mergeCell ref="N61:O61"/>
    <mergeCell ref="C89:F89"/>
    <mergeCell ref="E114:F114"/>
    <mergeCell ref="H114:I114"/>
    <mergeCell ref="K114:L114"/>
    <mergeCell ref="N114:O114"/>
    <mergeCell ref="C142:F142"/>
    <mergeCell ref="H511:I511"/>
    <mergeCell ref="K511:L511"/>
    <mergeCell ref="N511:O511"/>
    <mergeCell ref="N619:O619"/>
    <mergeCell ref="C540:F540"/>
    <mergeCell ref="E565:F565"/>
    <mergeCell ref="H565:I565"/>
    <mergeCell ref="K565:L565"/>
    <mergeCell ref="N565:O565"/>
    <mergeCell ref="C648:F648"/>
    <mergeCell ref="C594:F594"/>
    <mergeCell ref="E619:F619"/>
    <mergeCell ref="H619:I619"/>
    <mergeCell ref="K619:L619"/>
    <mergeCell ref="E727:F727"/>
    <mergeCell ref="H727:I727"/>
    <mergeCell ref="K727:L727"/>
    <mergeCell ref="N727:O727"/>
    <mergeCell ref="C756:F756"/>
    <mergeCell ref="E780:F780"/>
    <mergeCell ref="H780:I780"/>
    <mergeCell ref="K780:L780"/>
    <mergeCell ref="N780:O780"/>
    <mergeCell ref="C809:F809"/>
    <mergeCell ref="E221:F221"/>
    <mergeCell ref="H221:I221"/>
    <mergeCell ref="K221:L221"/>
    <mergeCell ref="N221:O221"/>
    <mergeCell ref="C249:F249"/>
    <mergeCell ref="E277:F277"/>
    <mergeCell ref="H277:I277"/>
    <mergeCell ref="K277:L277"/>
    <mergeCell ref="N277:O277"/>
    <mergeCell ref="C305:F305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59"/>
  <sheetViews>
    <sheetView topLeftCell="A669" workbookViewId="0">
      <selection activeCell="G680" sqref="G680"/>
    </sheetView>
  </sheetViews>
  <sheetFormatPr baseColWidth="10" defaultRowHeight="12.75" x14ac:dyDescent="0.2"/>
  <cols>
    <col min="1" max="1" width="34.28515625" customWidth="1"/>
    <col min="2" max="2" width="16.42578125" customWidth="1"/>
    <col min="3" max="3" width="8.5703125" customWidth="1"/>
    <col min="5" max="5" width="13.85546875" customWidth="1"/>
    <col min="6" max="6" width="11.42578125" style="1025"/>
    <col min="7" max="7" width="55.140625" customWidth="1"/>
  </cols>
  <sheetData>
    <row r="2" spans="1:5" ht="15.75" thickBot="1" x14ac:dyDescent="0.25">
      <c r="A2" s="71" t="s">
        <v>108</v>
      </c>
      <c r="B2" s="72"/>
      <c r="C2" s="72"/>
      <c r="D2" s="73" t="s">
        <v>109</v>
      </c>
      <c r="E2" s="74"/>
    </row>
    <row r="3" spans="1:5" ht="16.5" thickTop="1" thickBot="1" x14ac:dyDescent="0.25">
      <c r="A3" s="75"/>
      <c r="B3" s="75"/>
      <c r="C3" s="75"/>
      <c r="D3" s="75"/>
      <c r="E3" s="75"/>
    </row>
    <row r="4" spans="1:5" ht="31.5" thickTop="1" thickBot="1" x14ac:dyDescent="0.25">
      <c r="A4" s="76" t="s">
        <v>110</v>
      </c>
      <c r="B4" s="77" t="s">
        <v>111</v>
      </c>
      <c r="C4" s="76" t="s">
        <v>3</v>
      </c>
      <c r="D4" s="77" t="s">
        <v>112</v>
      </c>
      <c r="E4" s="77" t="s">
        <v>113</v>
      </c>
    </row>
    <row r="5" spans="1:5" ht="14.25" thickTop="1" thickBot="1" x14ac:dyDescent="0.25">
      <c r="A5" s="78" t="s">
        <v>114</v>
      </c>
      <c r="B5" s="79">
        <v>1</v>
      </c>
      <c r="C5" s="80" t="s">
        <v>23</v>
      </c>
      <c r="D5" s="79">
        <v>2.5</v>
      </c>
      <c r="E5" s="79">
        <f>ROUND(B5*D5,2)</f>
        <v>2.5</v>
      </c>
    </row>
    <row r="6" spans="1:5" ht="14.25" thickTop="1" thickBot="1" x14ac:dyDescent="0.25">
      <c r="A6" s="78" t="s">
        <v>115</v>
      </c>
      <c r="B6" s="79">
        <v>1</v>
      </c>
      <c r="C6" s="80" t="s">
        <v>116</v>
      </c>
      <c r="D6" s="81">
        <v>310</v>
      </c>
      <c r="E6" s="79">
        <f t="shared" ref="E6:E13" si="0">ROUND(B6*D6,2)</f>
        <v>310</v>
      </c>
    </row>
    <row r="7" spans="1:5" ht="14.25" thickTop="1" thickBot="1" x14ac:dyDescent="0.25">
      <c r="A7" s="78" t="s">
        <v>117</v>
      </c>
      <c r="B7" s="79">
        <v>1</v>
      </c>
      <c r="C7" s="80" t="s">
        <v>116</v>
      </c>
      <c r="D7" s="82">
        <v>100</v>
      </c>
      <c r="E7" s="79">
        <f t="shared" si="0"/>
        <v>100</v>
      </c>
    </row>
    <row r="8" spans="1:5" ht="14.25" thickTop="1" thickBot="1" x14ac:dyDescent="0.25">
      <c r="A8" s="78" t="s">
        <v>118</v>
      </c>
      <c r="B8" s="79">
        <v>1</v>
      </c>
      <c r="C8" s="80" t="s">
        <v>10</v>
      </c>
      <c r="D8" s="81">
        <v>950</v>
      </c>
      <c r="E8" s="79">
        <f t="shared" si="0"/>
        <v>950</v>
      </c>
    </row>
    <row r="9" spans="1:5" ht="14.25" thickTop="1" thickBot="1" x14ac:dyDescent="0.25">
      <c r="A9" s="78" t="s">
        <v>119</v>
      </c>
      <c r="B9" s="79">
        <v>1</v>
      </c>
      <c r="C9" s="80" t="s">
        <v>10</v>
      </c>
      <c r="D9" s="81">
        <v>1100</v>
      </c>
      <c r="E9" s="79">
        <f t="shared" si="0"/>
        <v>1100</v>
      </c>
    </row>
    <row r="10" spans="1:5" ht="14.25" thickTop="1" thickBot="1" x14ac:dyDescent="0.25">
      <c r="A10" s="78" t="s">
        <v>120</v>
      </c>
      <c r="B10" s="79">
        <v>1</v>
      </c>
      <c r="C10" s="80" t="s">
        <v>10</v>
      </c>
      <c r="D10" s="81">
        <v>1200</v>
      </c>
      <c r="E10" s="79">
        <f t="shared" si="0"/>
        <v>1200</v>
      </c>
    </row>
    <row r="11" spans="1:5" ht="14.25" thickTop="1" thickBot="1" x14ac:dyDescent="0.25">
      <c r="A11" s="78" t="s">
        <v>121</v>
      </c>
      <c r="B11" s="79">
        <v>1</v>
      </c>
      <c r="C11" s="80" t="s">
        <v>122</v>
      </c>
      <c r="D11" s="81">
        <v>2200</v>
      </c>
      <c r="E11" s="79">
        <f t="shared" si="0"/>
        <v>2200</v>
      </c>
    </row>
    <row r="12" spans="1:5" ht="14.25" thickTop="1" thickBot="1" x14ac:dyDescent="0.25">
      <c r="A12" s="78" t="s">
        <v>123</v>
      </c>
      <c r="B12" s="79">
        <v>1</v>
      </c>
      <c r="C12" s="80" t="s">
        <v>124</v>
      </c>
      <c r="D12" s="79">
        <f>D18</f>
        <v>21.34</v>
      </c>
      <c r="E12" s="79">
        <f t="shared" si="0"/>
        <v>21.34</v>
      </c>
    </row>
    <row r="13" spans="1:5" ht="14.25" thickTop="1" thickBot="1" x14ac:dyDescent="0.25">
      <c r="A13" s="83" t="s">
        <v>123</v>
      </c>
      <c r="B13" s="84">
        <v>3</v>
      </c>
      <c r="C13" s="80" t="s">
        <v>124</v>
      </c>
      <c r="D13" s="79">
        <v>1</v>
      </c>
      <c r="E13" s="79">
        <f t="shared" si="0"/>
        <v>3</v>
      </c>
    </row>
    <row r="14" spans="1:5" ht="14.25" thickTop="1" thickBot="1" x14ac:dyDescent="0.25">
      <c r="A14" s="85" t="s">
        <v>125</v>
      </c>
      <c r="B14" s="86">
        <f>IF(B13&lt;5,B13,5)</f>
        <v>3</v>
      </c>
      <c r="C14" s="87" t="s">
        <v>124</v>
      </c>
      <c r="D14" s="88">
        <v>21.34</v>
      </c>
      <c r="E14" s="89">
        <f>ROUND(D14*B14,2)</f>
        <v>64.02</v>
      </c>
    </row>
    <row r="15" spans="1:5" ht="14.25" thickTop="1" thickBot="1" x14ac:dyDescent="0.25">
      <c r="A15" s="85" t="s">
        <v>126</v>
      </c>
      <c r="B15" s="86">
        <f>IF(AND(B13&gt;5,B13&lt;=10),B13-5,IF(B13&gt;10,5,0))</f>
        <v>0</v>
      </c>
      <c r="C15" s="87" t="s">
        <v>124</v>
      </c>
      <c r="D15" s="88">
        <v>16.57</v>
      </c>
      <c r="E15" s="89">
        <f>ROUND(D15*B15,2)</f>
        <v>0</v>
      </c>
    </row>
    <row r="16" spans="1:5" ht="14.25" thickTop="1" thickBot="1" x14ac:dyDescent="0.25">
      <c r="A16" s="85" t="s">
        <v>127</v>
      </c>
      <c r="B16" s="86">
        <f>IF(AND(B13&gt;10,B13&lt;=20),B13-10,IF(B13&gt;20,10,0))</f>
        <v>0</v>
      </c>
      <c r="C16" s="87" t="s">
        <v>124</v>
      </c>
      <c r="D16" s="88">
        <v>15.7</v>
      </c>
      <c r="E16" s="89">
        <f>ROUND(D16*B16,2)</f>
        <v>0</v>
      </c>
    </row>
    <row r="17" spans="1:5" ht="14.25" thickTop="1" thickBot="1" x14ac:dyDescent="0.25">
      <c r="A17" s="85" t="s">
        <v>128</v>
      </c>
      <c r="B17" s="86">
        <f>IF(B13&gt;20,B13-20,0)</f>
        <v>0</v>
      </c>
      <c r="C17" s="87" t="s">
        <v>124</v>
      </c>
      <c r="D17" s="88">
        <v>15.41</v>
      </c>
      <c r="E17" s="89">
        <f>ROUND(D17*B17,2)</f>
        <v>0</v>
      </c>
    </row>
    <row r="18" spans="1:5" ht="14.25" thickTop="1" thickBot="1" x14ac:dyDescent="0.25">
      <c r="A18" s="85"/>
      <c r="B18" s="85"/>
      <c r="C18" s="90" t="s">
        <v>129</v>
      </c>
      <c r="D18" s="91">
        <f>E18/B13</f>
        <v>21.34</v>
      </c>
      <c r="E18" s="92">
        <f>SUM(E14:E17)</f>
        <v>64.02</v>
      </c>
    </row>
    <row r="19" spans="1:5" ht="13.5" thickTop="1" x14ac:dyDescent="0.2">
      <c r="A19" s="93"/>
      <c r="B19" s="94"/>
      <c r="C19" s="95"/>
      <c r="D19" s="94"/>
      <c r="E19" s="94"/>
    </row>
    <row r="20" spans="1:5" ht="13.5" thickBot="1" x14ac:dyDescent="0.25">
      <c r="A20" s="96" t="s">
        <v>130</v>
      </c>
      <c r="B20" s="94"/>
      <c r="C20" s="93"/>
      <c r="D20" s="94"/>
      <c r="E20" s="94"/>
    </row>
    <row r="21" spans="1:5" ht="13.5" thickTop="1" x14ac:dyDescent="0.2">
      <c r="A21" s="97" t="s">
        <v>131</v>
      </c>
      <c r="B21" s="98">
        <v>1</v>
      </c>
      <c r="C21" s="99" t="s">
        <v>10</v>
      </c>
      <c r="D21" s="100">
        <v>950</v>
      </c>
      <c r="E21" s="101">
        <f>ROUND(B21*D21,2)</f>
        <v>950</v>
      </c>
    </row>
    <row r="22" spans="1:5" x14ac:dyDescent="0.2">
      <c r="A22" s="102" t="s">
        <v>51</v>
      </c>
      <c r="B22" s="103">
        <f>E13</f>
        <v>3</v>
      </c>
      <c r="C22" s="104" t="s">
        <v>124</v>
      </c>
      <c r="D22" s="105">
        <f>E12</f>
        <v>21.34</v>
      </c>
      <c r="E22" s="106">
        <f>ROUND(B22*D22,2)</f>
        <v>64.02</v>
      </c>
    </row>
    <row r="23" spans="1:5" x14ac:dyDescent="0.2">
      <c r="A23" s="107" t="s">
        <v>132</v>
      </c>
      <c r="B23" s="108">
        <v>1</v>
      </c>
      <c r="C23" s="109" t="s">
        <v>10</v>
      </c>
      <c r="D23" s="110">
        <v>14</v>
      </c>
      <c r="E23" s="106">
        <f>ROUND(B23*D23,2)</f>
        <v>14</v>
      </c>
    </row>
    <row r="24" spans="1:5" ht="13.5" thickBot="1" x14ac:dyDescent="0.25">
      <c r="A24" s="111"/>
      <c r="B24" s="112"/>
      <c r="C24" s="113"/>
      <c r="D24" s="114" t="s">
        <v>133</v>
      </c>
      <c r="E24" s="115">
        <f>SUM(E21:E23)</f>
        <v>1028.02</v>
      </c>
    </row>
    <row r="25" spans="1:5" ht="13.5" thickTop="1" x14ac:dyDescent="0.2">
      <c r="A25" s="93"/>
      <c r="B25" s="94"/>
      <c r="C25" s="95"/>
      <c r="D25" s="94"/>
      <c r="E25" s="94"/>
    </row>
    <row r="26" spans="1:5" ht="13.5" thickBot="1" x14ac:dyDescent="0.25">
      <c r="A26" s="96" t="s">
        <v>134</v>
      </c>
      <c r="B26" s="94"/>
      <c r="C26" s="93"/>
      <c r="D26" s="94"/>
      <c r="E26" s="94"/>
    </row>
    <row r="27" spans="1:5" ht="13.5" thickTop="1" x14ac:dyDescent="0.2">
      <c r="A27" s="97" t="s">
        <v>131</v>
      </c>
      <c r="B27" s="98">
        <v>1</v>
      </c>
      <c r="C27" s="99" t="s">
        <v>10</v>
      </c>
      <c r="D27" s="100">
        <v>1100</v>
      </c>
      <c r="E27" s="116">
        <f>ROUND(B27*D27,2)</f>
        <v>1100</v>
      </c>
    </row>
    <row r="28" spans="1:5" x14ac:dyDescent="0.2">
      <c r="A28" s="102" t="s">
        <v>51</v>
      </c>
      <c r="B28" s="103">
        <f>E13</f>
        <v>3</v>
      </c>
      <c r="C28" s="104" t="s">
        <v>124</v>
      </c>
      <c r="D28" s="105">
        <f>E12</f>
        <v>21.34</v>
      </c>
      <c r="E28" s="106">
        <f>ROUND(B28*D28,2)</f>
        <v>64.02</v>
      </c>
    </row>
    <row r="29" spans="1:5" x14ac:dyDescent="0.2">
      <c r="A29" s="107" t="s">
        <v>132</v>
      </c>
      <c r="B29" s="108">
        <v>1</v>
      </c>
      <c r="C29" s="109" t="s">
        <v>10</v>
      </c>
      <c r="D29" s="110">
        <v>14</v>
      </c>
      <c r="E29" s="106">
        <f>ROUND(B29*D29,2)</f>
        <v>14</v>
      </c>
    </row>
    <row r="30" spans="1:5" ht="13.5" thickBot="1" x14ac:dyDescent="0.25">
      <c r="A30" s="117"/>
      <c r="B30" s="112"/>
      <c r="C30" s="113"/>
      <c r="D30" s="114" t="s">
        <v>133</v>
      </c>
      <c r="E30" s="118">
        <f>SUM(E27:E29)</f>
        <v>1178.02</v>
      </c>
    </row>
    <row r="31" spans="1:5" ht="13.5" thickTop="1" x14ac:dyDescent="0.2">
      <c r="A31" s="119"/>
      <c r="B31" s="120"/>
      <c r="C31" s="121"/>
      <c r="D31" s="122"/>
      <c r="E31" s="123"/>
    </row>
    <row r="32" spans="1:5" ht="13.5" thickBot="1" x14ac:dyDescent="0.25">
      <c r="A32" s="96" t="s">
        <v>135</v>
      </c>
      <c r="B32" s="94"/>
      <c r="C32" s="93"/>
      <c r="D32" s="94"/>
      <c r="E32" s="94"/>
    </row>
    <row r="33" spans="1:5" ht="13.5" thickTop="1" x14ac:dyDescent="0.2">
      <c r="A33" s="97" t="s">
        <v>118</v>
      </c>
      <c r="B33" s="98">
        <v>0.45</v>
      </c>
      <c r="C33" s="124" t="s">
        <v>10</v>
      </c>
      <c r="D33" s="125">
        <f>+E24</f>
        <v>1028.02</v>
      </c>
      <c r="E33" s="116">
        <f>ROUND(B33*D33,2)</f>
        <v>462.61</v>
      </c>
    </row>
    <row r="34" spans="1:5" x14ac:dyDescent="0.2">
      <c r="A34" s="107" t="s">
        <v>119</v>
      </c>
      <c r="B34" s="108">
        <v>0.9</v>
      </c>
      <c r="C34" s="126" t="s">
        <v>10</v>
      </c>
      <c r="D34" s="110">
        <f>+E30</f>
        <v>1178.02</v>
      </c>
      <c r="E34" s="106">
        <f>ROUND(B34*D34,2)</f>
        <v>1060.22</v>
      </c>
    </row>
    <row r="35" spans="1:5" x14ac:dyDescent="0.2">
      <c r="A35" s="107" t="s">
        <v>136</v>
      </c>
      <c r="B35" s="108">
        <v>12</v>
      </c>
      <c r="C35" s="126" t="s">
        <v>137</v>
      </c>
      <c r="D35" s="110">
        <f>+D45</f>
        <v>310</v>
      </c>
      <c r="E35" s="106">
        <f>ROUND(B35*D35,2)</f>
        <v>3720</v>
      </c>
    </row>
    <row r="36" spans="1:5" x14ac:dyDescent="0.2">
      <c r="A36" s="107" t="s">
        <v>114</v>
      </c>
      <c r="B36" s="108">
        <v>60</v>
      </c>
      <c r="C36" s="126" t="s">
        <v>33</v>
      </c>
      <c r="D36" s="110">
        <f>+D46</f>
        <v>2.5</v>
      </c>
      <c r="E36" s="106">
        <f>ROUND(B36*D36,2)</f>
        <v>150</v>
      </c>
    </row>
    <row r="37" spans="1:5" x14ac:dyDescent="0.2">
      <c r="A37" s="107" t="s">
        <v>138</v>
      </c>
      <c r="B37" s="108">
        <v>1</v>
      </c>
      <c r="C37" s="126" t="s">
        <v>10</v>
      </c>
      <c r="D37" s="110">
        <v>850</v>
      </c>
      <c r="E37" s="106">
        <f>ROUND(B37*D37,2)</f>
        <v>850</v>
      </c>
    </row>
    <row r="38" spans="1:5" x14ac:dyDescent="0.2">
      <c r="A38" s="107" t="s">
        <v>139</v>
      </c>
      <c r="B38" s="108"/>
      <c r="C38" s="126"/>
      <c r="D38" s="108"/>
      <c r="E38" s="127">
        <f>SUM(E33+E34+E35+E36)*0.02</f>
        <v>107.8566</v>
      </c>
    </row>
    <row r="39" spans="1:5" ht="13.5" thickBot="1" x14ac:dyDescent="0.25">
      <c r="A39" s="117"/>
      <c r="B39" s="128"/>
      <c r="C39" s="129"/>
      <c r="D39" s="130" t="s">
        <v>140</v>
      </c>
      <c r="E39" s="131">
        <f>SUM(E33:E38)</f>
        <v>6350.6866</v>
      </c>
    </row>
    <row r="40" spans="1:5" ht="13.5" thickTop="1" x14ac:dyDescent="0.2">
      <c r="A40" s="119"/>
      <c r="B40" s="120"/>
      <c r="C40" s="121"/>
      <c r="D40" s="122"/>
      <c r="E40" s="123"/>
    </row>
    <row r="41" spans="1:5" x14ac:dyDescent="0.2">
      <c r="A41" s="119"/>
      <c r="B41" s="120"/>
      <c r="C41" s="121"/>
      <c r="D41" s="122"/>
      <c r="E41" s="123"/>
    </row>
    <row r="42" spans="1:5" ht="13.5" thickBot="1" x14ac:dyDescent="0.25">
      <c r="A42" s="96" t="s">
        <v>141</v>
      </c>
      <c r="B42" s="94"/>
      <c r="C42" s="93"/>
      <c r="D42" s="94"/>
      <c r="E42" s="94"/>
    </row>
    <row r="43" spans="1:5" ht="13.5" thickTop="1" x14ac:dyDescent="0.2">
      <c r="A43" s="97" t="s">
        <v>118</v>
      </c>
      <c r="B43" s="98">
        <v>0.45</v>
      </c>
      <c r="C43" s="124" t="s">
        <v>10</v>
      </c>
      <c r="D43" s="125">
        <f>E24</f>
        <v>1028.02</v>
      </c>
      <c r="E43" s="116">
        <f>ROUND(B43*D43,2)</f>
        <v>462.61</v>
      </c>
    </row>
    <row r="44" spans="1:5" x14ac:dyDescent="0.2">
      <c r="A44" s="107" t="s">
        <v>119</v>
      </c>
      <c r="B44" s="108">
        <v>0.9</v>
      </c>
      <c r="C44" s="126" t="s">
        <v>10</v>
      </c>
      <c r="D44" s="110">
        <f>E30</f>
        <v>1178.02</v>
      </c>
      <c r="E44" s="106">
        <f>ROUND(B44*D44,2)</f>
        <v>1060.22</v>
      </c>
    </row>
    <row r="45" spans="1:5" x14ac:dyDescent="0.2">
      <c r="A45" s="107" t="s">
        <v>136</v>
      </c>
      <c r="B45" s="108">
        <v>11</v>
      </c>
      <c r="C45" s="126" t="s">
        <v>137</v>
      </c>
      <c r="D45" s="110">
        <f>E6</f>
        <v>310</v>
      </c>
      <c r="E45" s="106">
        <f>ROUND(B45*D45,2)</f>
        <v>3410</v>
      </c>
    </row>
    <row r="46" spans="1:5" x14ac:dyDescent="0.2">
      <c r="A46" s="107" t="s">
        <v>114</v>
      </c>
      <c r="B46" s="108">
        <v>60</v>
      </c>
      <c r="C46" s="126" t="s">
        <v>33</v>
      </c>
      <c r="D46" s="110">
        <f>E5</f>
        <v>2.5</v>
      </c>
      <c r="E46" s="106">
        <f>ROUND(B46*D46,2)</f>
        <v>150</v>
      </c>
    </row>
    <row r="47" spans="1:5" x14ac:dyDescent="0.2">
      <c r="A47" s="107" t="s">
        <v>138</v>
      </c>
      <c r="B47" s="108">
        <v>1</v>
      </c>
      <c r="C47" s="126" t="s">
        <v>10</v>
      </c>
      <c r="D47" s="110">
        <v>850</v>
      </c>
      <c r="E47" s="106">
        <f>ROUND(B47*D47,2)</f>
        <v>850</v>
      </c>
    </row>
    <row r="48" spans="1:5" x14ac:dyDescent="0.2">
      <c r="A48" s="107" t="s">
        <v>139</v>
      </c>
      <c r="B48" s="108"/>
      <c r="C48" s="126"/>
      <c r="D48" s="108"/>
      <c r="E48" s="127">
        <f>SUM(E43+E44+E45+E46)*0.02</f>
        <v>101.6566</v>
      </c>
    </row>
    <row r="49" spans="1:5" ht="13.5" thickBot="1" x14ac:dyDescent="0.25">
      <c r="A49" s="117"/>
      <c r="B49" s="128"/>
      <c r="C49" s="129"/>
      <c r="D49" s="130" t="s">
        <v>140</v>
      </c>
      <c r="E49" s="131">
        <f>SUM(E43:E48)</f>
        <v>6034.4866000000002</v>
      </c>
    </row>
    <row r="50" spans="1:5" ht="13.5" thickTop="1" x14ac:dyDescent="0.2">
      <c r="A50" s="119"/>
      <c r="B50" s="120"/>
      <c r="C50" s="132"/>
      <c r="D50" s="122"/>
      <c r="E50" s="123"/>
    </row>
    <row r="51" spans="1:5" ht="13.5" thickBot="1" x14ac:dyDescent="0.25">
      <c r="A51" s="96" t="s">
        <v>142</v>
      </c>
      <c r="B51" s="94"/>
      <c r="C51" s="93"/>
      <c r="D51" s="94"/>
      <c r="E51" s="94"/>
    </row>
    <row r="52" spans="1:5" ht="13.5" thickTop="1" x14ac:dyDescent="0.2">
      <c r="A52" s="97" t="s">
        <v>118</v>
      </c>
      <c r="B52" s="98">
        <v>0.45</v>
      </c>
      <c r="C52" s="124" t="s">
        <v>10</v>
      </c>
      <c r="D52" s="98">
        <f>E24</f>
        <v>1028.02</v>
      </c>
      <c r="E52" s="116">
        <f>ROUND(B52*D52,2)</f>
        <v>462.61</v>
      </c>
    </row>
    <row r="53" spans="1:5" x14ac:dyDescent="0.2">
      <c r="A53" s="107" t="s">
        <v>119</v>
      </c>
      <c r="B53" s="108">
        <v>0.9</v>
      </c>
      <c r="C53" s="126" t="s">
        <v>10</v>
      </c>
      <c r="D53" s="108">
        <f>E30</f>
        <v>1178.02</v>
      </c>
      <c r="E53" s="106">
        <f>ROUND(B53*D53,2)</f>
        <v>1060.22</v>
      </c>
    </row>
    <row r="54" spans="1:5" x14ac:dyDescent="0.2">
      <c r="A54" s="107" t="s">
        <v>136</v>
      </c>
      <c r="B54" s="108">
        <v>9</v>
      </c>
      <c r="C54" s="126" t="s">
        <v>137</v>
      </c>
      <c r="D54" s="108">
        <f>E6</f>
        <v>310</v>
      </c>
      <c r="E54" s="106">
        <f>ROUND(B54*D54,2)</f>
        <v>2790</v>
      </c>
    </row>
    <row r="55" spans="1:5" x14ac:dyDescent="0.2">
      <c r="A55" s="107" t="s">
        <v>114</v>
      </c>
      <c r="B55" s="108">
        <v>60</v>
      </c>
      <c r="C55" s="126" t="s">
        <v>33</v>
      </c>
      <c r="D55" s="108">
        <f>E5</f>
        <v>2.5</v>
      </c>
      <c r="E55" s="106">
        <f>ROUND(B55*D55,2)</f>
        <v>150</v>
      </c>
    </row>
    <row r="56" spans="1:5" x14ac:dyDescent="0.2">
      <c r="A56" s="107" t="s">
        <v>138</v>
      </c>
      <c r="B56" s="108">
        <v>1</v>
      </c>
      <c r="C56" s="126" t="s">
        <v>10</v>
      </c>
      <c r="D56" s="108">
        <v>850</v>
      </c>
      <c r="E56" s="106">
        <f>ROUND(B56*D56,2)</f>
        <v>850</v>
      </c>
    </row>
    <row r="57" spans="1:5" x14ac:dyDescent="0.2">
      <c r="A57" s="107" t="s">
        <v>139</v>
      </c>
      <c r="B57" s="108"/>
      <c r="C57" s="126"/>
      <c r="D57" s="108"/>
      <c r="E57" s="127">
        <f>SUM(E52+E53+E54+E55)*0.02</f>
        <v>89.256600000000006</v>
      </c>
    </row>
    <row r="58" spans="1:5" ht="13.5" thickBot="1" x14ac:dyDescent="0.25">
      <c r="A58" s="117"/>
      <c r="B58" s="128"/>
      <c r="C58" s="129"/>
      <c r="D58" s="130" t="s">
        <v>140</v>
      </c>
      <c r="E58" s="131">
        <f>SUM(E52:E57)</f>
        <v>5402.0865999999996</v>
      </c>
    </row>
    <row r="59" spans="1:5" ht="13.5" thickTop="1" x14ac:dyDescent="0.2">
      <c r="A59" s="96" t="s">
        <v>143</v>
      </c>
      <c r="B59" s="122"/>
      <c r="C59" s="133"/>
      <c r="D59" s="134"/>
      <c r="E59" s="134">
        <f>(E58-E56)+800</f>
        <v>5352.0865999999996</v>
      </c>
    </row>
    <row r="60" spans="1:5" x14ac:dyDescent="0.2">
      <c r="A60" s="119"/>
      <c r="B60" s="122"/>
      <c r="C60" s="135"/>
      <c r="D60" s="134"/>
      <c r="E60" s="134"/>
    </row>
    <row r="61" spans="1:5" ht="13.5" thickBot="1" x14ac:dyDescent="0.25">
      <c r="A61" s="96" t="s">
        <v>144</v>
      </c>
      <c r="B61" s="94"/>
      <c r="C61" s="93"/>
      <c r="D61" s="94"/>
      <c r="E61" s="94"/>
    </row>
    <row r="62" spans="1:5" ht="13.5" thickTop="1" x14ac:dyDescent="0.2">
      <c r="A62" s="97" t="s">
        <v>118</v>
      </c>
      <c r="B62" s="98">
        <v>0.52</v>
      </c>
      <c r="C62" s="124" t="s">
        <v>10</v>
      </c>
      <c r="D62" s="98">
        <f>E24</f>
        <v>1028.02</v>
      </c>
      <c r="E62" s="116">
        <f>ROUND(B62*D62,2)</f>
        <v>534.57000000000005</v>
      </c>
    </row>
    <row r="63" spans="1:5" x14ac:dyDescent="0.2">
      <c r="A63" s="107" t="s">
        <v>119</v>
      </c>
      <c r="B63" s="108">
        <v>0.85</v>
      </c>
      <c r="C63" s="126" t="s">
        <v>10</v>
      </c>
      <c r="D63" s="108">
        <f>E30</f>
        <v>1178.02</v>
      </c>
      <c r="E63" s="106">
        <f>ROUND(B63*D63,2)</f>
        <v>1001.32</v>
      </c>
    </row>
    <row r="64" spans="1:5" x14ac:dyDescent="0.2">
      <c r="A64" s="107" t="s">
        <v>136</v>
      </c>
      <c r="B64" s="108">
        <v>7</v>
      </c>
      <c r="C64" s="126" t="s">
        <v>137</v>
      </c>
      <c r="D64" s="108">
        <f>E6</f>
        <v>310</v>
      </c>
      <c r="E64" s="106">
        <f>ROUND(B64*D64,2)</f>
        <v>2170</v>
      </c>
    </row>
    <row r="65" spans="1:5" x14ac:dyDescent="0.2">
      <c r="A65" s="107" t="s">
        <v>114</v>
      </c>
      <c r="B65" s="108">
        <v>60</v>
      </c>
      <c r="C65" s="126" t="s">
        <v>33</v>
      </c>
      <c r="D65" s="108">
        <f>E5</f>
        <v>2.5</v>
      </c>
      <c r="E65" s="106">
        <f>ROUND(B65*D65,2)</f>
        <v>150</v>
      </c>
    </row>
    <row r="66" spans="1:5" x14ac:dyDescent="0.2">
      <c r="A66" s="107" t="s">
        <v>138</v>
      </c>
      <c r="B66" s="108">
        <v>1</v>
      </c>
      <c r="C66" s="126" t="s">
        <v>10</v>
      </c>
      <c r="D66" s="108">
        <v>850</v>
      </c>
      <c r="E66" s="106">
        <f>ROUND(B66*D66,2)</f>
        <v>850</v>
      </c>
    </row>
    <row r="67" spans="1:5" x14ac:dyDescent="0.2">
      <c r="A67" s="107" t="s">
        <v>139</v>
      </c>
      <c r="B67" s="108"/>
      <c r="C67" s="126"/>
      <c r="D67" s="108"/>
      <c r="E67" s="127">
        <f>SUM(E62+E63+E64+E65)*0.02</f>
        <v>77.117800000000003</v>
      </c>
    </row>
    <row r="68" spans="1:5" ht="13.5" thickBot="1" x14ac:dyDescent="0.25">
      <c r="A68" s="117"/>
      <c r="B68" s="128"/>
      <c r="C68" s="129"/>
      <c r="D68" s="130" t="s">
        <v>140</v>
      </c>
      <c r="E68" s="131">
        <f>SUM(E62:E67)</f>
        <v>4783.0078000000003</v>
      </c>
    </row>
    <row r="69" spans="1:5" ht="13.5" thickTop="1" x14ac:dyDescent="0.2">
      <c r="A69" s="136"/>
      <c r="B69" s="122"/>
      <c r="C69" s="95"/>
      <c r="D69" s="134" t="s">
        <v>145</v>
      </c>
      <c r="E69" s="134">
        <f>E68*1.05</f>
        <v>5022.1581900000001</v>
      </c>
    </row>
    <row r="70" spans="1:5" ht="13.5" thickBot="1" x14ac:dyDescent="0.25">
      <c r="A70" s="96" t="s">
        <v>146</v>
      </c>
      <c r="B70" s="94"/>
      <c r="C70" s="93"/>
      <c r="D70" s="94"/>
      <c r="E70" s="94"/>
    </row>
    <row r="71" spans="1:5" ht="13.5" thickTop="1" x14ac:dyDescent="0.2">
      <c r="A71" s="97" t="s">
        <v>118</v>
      </c>
      <c r="B71" s="98">
        <v>0.52</v>
      </c>
      <c r="C71" s="124" t="s">
        <v>10</v>
      </c>
      <c r="D71" s="98">
        <f>+E24</f>
        <v>1028.02</v>
      </c>
      <c r="E71" s="116">
        <f>ROUND(B71*D71,2)</f>
        <v>534.57000000000005</v>
      </c>
    </row>
    <row r="72" spans="1:5" x14ac:dyDescent="0.2">
      <c r="A72" s="107" t="s">
        <v>119</v>
      </c>
      <c r="B72" s="108">
        <v>0.86</v>
      </c>
      <c r="C72" s="126" t="s">
        <v>10</v>
      </c>
      <c r="D72" s="108">
        <f>E30</f>
        <v>1178.02</v>
      </c>
      <c r="E72" s="106">
        <f>ROUND(B72*D72,2)</f>
        <v>1013.1</v>
      </c>
    </row>
    <row r="73" spans="1:5" x14ac:dyDescent="0.2">
      <c r="A73" s="107" t="s">
        <v>136</v>
      </c>
      <c r="B73" s="108">
        <v>6.44</v>
      </c>
      <c r="C73" s="126" t="s">
        <v>137</v>
      </c>
      <c r="D73" s="108">
        <f>E6</f>
        <v>310</v>
      </c>
      <c r="E73" s="106">
        <f>ROUND(B73*D73,2)</f>
        <v>1996.4</v>
      </c>
    </row>
    <row r="74" spans="1:5" x14ac:dyDescent="0.2">
      <c r="A74" s="107" t="s">
        <v>114</v>
      </c>
      <c r="B74" s="108">
        <v>60</v>
      </c>
      <c r="C74" s="126" t="s">
        <v>33</v>
      </c>
      <c r="D74" s="108">
        <f>E5</f>
        <v>2.5</v>
      </c>
      <c r="E74" s="106">
        <f>ROUND(B74*D74,2)</f>
        <v>150</v>
      </c>
    </row>
    <row r="75" spans="1:5" x14ac:dyDescent="0.2">
      <c r="A75" s="107" t="s">
        <v>138</v>
      </c>
      <c r="B75" s="108">
        <v>1</v>
      </c>
      <c r="C75" s="126" t="s">
        <v>10</v>
      </c>
      <c r="D75" s="108">
        <v>850</v>
      </c>
      <c r="E75" s="106">
        <f>ROUND(B75*D75,2)</f>
        <v>850</v>
      </c>
    </row>
    <row r="76" spans="1:5" x14ac:dyDescent="0.2">
      <c r="A76" s="107" t="s">
        <v>139</v>
      </c>
      <c r="B76" s="108"/>
      <c r="C76" s="126"/>
      <c r="D76" s="108"/>
      <c r="E76" s="127">
        <f>SUM(E71+E72+E73+E74)*0.02</f>
        <v>73.881399999999999</v>
      </c>
    </row>
    <row r="77" spans="1:5" ht="13.5" thickBot="1" x14ac:dyDescent="0.25">
      <c r="A77" s="117"/>
      <c r="B77" s="128"/>
      <c r="C77" s="129"/>
      <c r="D77" s="130" t="s">
        <v>140</v>
      </c>
      <c r="E77" s="131">
        <f>SUM(E71:E76)</f>
        <v>4617.9513999999999</v>
      </c>
    </row>
    <row r="78" spans="1:5" ht="13.5" thickTop="1" x14ac:dyDescent="0.2">
      <c r="A78" s="119"/>
      <c r="B78" s="122"/>
      <c r="C78" s="133"/>
      <c r="D78" s="134"/>
      <c r="E78" s="134"/>
    </row>
    <row r="79" spans="1:5" ht="13.5" thickBot="1" x14ac:dyDescent="0.25">
      <c r="A79" s="137" t="s">
        <v>147</v>
      </c>
      <c r="B79" s="94"/>
      <c r="C79" s="138"/>
      <c r="D79" s="94"/>
      <c r="E79" s="94"/>
    </row>
    <row r="80" spans="1:5" ht="13.5" thickTop="1" x14ac:dyDescent="0.2">
      <c r="A80" s="97" t="s">
        <v>148</v>
      </c>
      <c r="B80" s="98">
        <v>1</v>
      </c>
      <c r="C80" s="124" t="s">
        <v>10</v>
      </c>
      <c r="D80" s="139">
        <f>+E10</f>
        <v>1200</v>
      </c>
      <c r="E80" s="116">
        <f>ROUND(B80*D80,2)</f>
        <v>1200</v>
      </c>
    </row>
    <row r="81" spans="1:5" x14ac:dyDescent="0.2">
      <c r="A81" s="102" t="s">
        <v>51</v>
      </c>
      <c r="B81" s="103">
        <f>E13</f>
        <v>3</v>
      </c>
      <c r="C81" s="140" t="s">
        <v>10</v>
      </c>
      <c r="D81" s="103">
        <f>E12</f>
        <v>21.34</v>
      </c>
      <c r="E81" s="106">
        <f>ROUND(B81*D81,2)</f>
        <v>64.02</v>
      </c>
    </row>
    <row r="82" spans="1:5" x14ac:dyDescent="0.2">
      <c r="A82" s="107" t="s">
        <v>132</v>
      </c>
      <c r="B82" s="108">
        <v>1</v>
      </c>
      <c r="C82" s="126" t="s">
        <v>10</v>
      </c>
      <c r="D82" s="108">
        <v>14</v>
      </c>
      <c r="E82" s="106">
        <f>ROUND(B82*D82,2)</f>
        <v>14</v>
      </c>
    </row>
    <row r="83" spans="1:5" ht="13.5" thickBot="1" x14ac:dyDescent="0.25">
      <c r="A83" s="117"/>
      <c r="B83" s="128"/>
      <c r="C83" s="129"/>
      <c r="D83" s="130" t="s">
        <v>140</v>
      </c>
      <c r="E83" s="131">
        <f>SUM(E80:E82)</f>
        <v>1278.02</v>
      </c>
    </row>
    <row r="84" spans="1:5" ht="13.5" thickTop="1" x14ac:dyDescent="0.2">
      <c r="A84" s="93"/>
      <c r="B84" s="94"/>
      <c r="C84" s="95"/>
      <c r="D84" s="94"/>
      <c r="E84" s="94"/>
    </row>
    <row r="85" spans="1:5" ht="13.5" thickBot="1" x14ac:dyDescent="0.25">
      <c r="A85" s="96" t="s">
        <v>149</v>
      </c>
      <c r="B85" s="94"/>
      <c r="C85" s="93"/>
      <c r="D85" s="94"/>
      <c r="E85" s="94"/>
    </row>
    <row r="86" spans="1:5" ht="13.5" thickTop="1" x14ac:dyDescent="0.2">
      <c r="A86" s="97" t="s">
        <v>118</v>
      </c>
      <c r="B86" s="98">
        <v>1.02</v>
      </c>
      <c r="C86" s="124" t="s">
        <v>10</v>
      </c>
      <c r="D86" s="98">
        <f>+E83</f>
        <v>1278.02</v>
      </c>
      <c r="E86" s="116">
        <f>ROUND(B86*D86,2)</f>
        <v>1303.58</v>
      </c>
    </row>
    <row r="87" spans="1:5" x14ac:dyDescent="0.2">
      <c r="A87" s="107" t="s">
        <v>136</v>
      </c>
      <c r="B87" s="108">
        <v>9.4600000000000009</v>
      </c>
      <c r="C87" s="126" t="s">
        <v>137</v>
      </c>
      <c r="D87" s="108">
        <f>E6</f>
        <v>310</v>
      </c>
      <c r="E87" s="106">
        <f>ROUND(B87*D87,2)</f>
        <v>2932.6</v>
      </c>
    </row>
    <row r="88" spans="1:5" x14ac:dyDescent="0.2">
      <c r="A88" s="107" t="s">
        <v>114</v>
      </c>
      <c r="B88" s="108">
        <v>50</v>
      </c>
      <c r="C88" s="126" t="s">
        <v>33</v>
      </c>
      <c r="D88" s="108">
        <f>E5</f>
        <v>2.5</v>
      </c>
      <c r="E88" s="106">
        <f>ROUND(B88*D88,2)</f>
        <v>125</v>
      </c>
    </row>
    <row r="89" spans="1:5" x14ac:dyDescent="0.2">
      <c r="A89" s="107" t="s">
        <v>117</v>
      </c>
      <c r="B89" s="108">
        <v>3.07</v>
      </c>
      <c r="C89" s="126" t="s">
        <v>137</v>
      </c>
      <c r="D89" s="108">
        <f>E7</f>
        <v>100</v>
      </c>
      <c r="E89" s="106">
        <f>ROUND(B89*D89,2)</f>
        <v>307</v>
      </c>
    </row>
    <row r="90" spans="1:5" x14ac:dyDescent="0.2">
      <c r="A90" s="107" t="s">
        <v>150</v>
      </c>
      <c r="B90" s="108">
        <v>0.5</v>
      </c>
      <c r="C90" s="126" t="s">
        <v>151</v>
      </c>
      <c r="D90" s="108">
        <v>659</v>
      </c>
      <c r="E90" s="106">
        <f>ROUND(B90*D90,2)</f>
        <v>329.5</v>
      </c>
    </row>
    <row r="91" spans="1:5" x14ac:dyDescent="0.2">
      <c r="A91" s="107" t="s">
        <v>152</v>
      </c>
      <c r="B91" s="108"/>
      <c r="C91" s="126"/>
      <c r="D91" s="108"/>
      <c r="E91" s="127">
        <f>SUM(E87+E88+E86+E89)*0.03</f>
        <v>140.0454</v>
      </c>
    </row>
    <row r="92" spans="1:5" ht="13.5" thickBot="1" x14ac:dyDescent="0.25">
      <c r="A92" s="117" t="s">
        <v>153</v>
      </c>
      <c r="B92" s="128"/>
      <c r="C92" s="129"/>
      <c r="D92" s="130" t="s">
        <v>140</v>
      </c>
      <c r="E92" s="131">
        <f>SUM(E86:E91)</f>
        <v>5137.7254000000003</v>
      </c>
    </row>
    <row r="93" spans="1:5" ht="13.5" thickTop="1" x14ac:dyDescent="0.2">
      <c r="A93" s="93"/>
      <c r="B93" s="94"/>
      <c r="C93" s="95"/>
      <c r="D93" s="141"/>
      <c r="E93" s="141"/>
    </row>
    <row r="94" spans="1:5" ht="13.5" thickBot="1" x14ac:dyDescent="0.25">
      <c r="A94" s="96" t="s">
        <v>154</v>
      </c>
      <c r="B94" s="94"/>
      <c r="C94" s="93"/>
      <c r="D94" s="94"/>
      <c r="E94" s="94"/>
    </row>
    <row r="95" spans="1:5" ht="13.5" thickTop="1" x14ac:dyDescent="0.2">
      <c r="A95" s="97" t="s">
        <v>155</v>
      </c>
      <c r="B95" s="98">
        <v>1</v>
      </c>
      <c r="C95" s="142" t="s">
        <v>10</v>
      </c>
      <c r="D95" s="98">
        <f>+E83</f>
        <v>1278.02</v>
      </c>
      <c r="E95" s="116">
        <f>ROUND(B95*D95,2)</f>
        <v>1278.02</v>
      </c>
    </row>
    <row r="96" spans="1:5" x14ac:dyDescent="0.2">
      <c r="A96" s="107" t="s">
        <v>114</v>
      </c>
      <c r="B96" s="108">
        <v>69.040000000000006</v>
      </c>
      <c r="C96" s="143" t="s">
        <v>33</v>
      </c>
      <c r="D96" s="108">
        <f>E5</f>
        <v>2.5</v>
      </c>
      <c r="E96" s="106">
        <f>ROUND(B96*D96,2)</f>
        <v>172.6</v>
      </c>
    </row>
    <row r="97" spans="1:5" x14ac:dyDescent="0.2">
      <c r="A97" s="107" t="s">
        <v>136</v>
      </c>
      <c r="B97" s="108">
        <v>11.51</v>
      </c>
      <c r="C97" s="143" t="s">
        <v>137</v>
      </c>
      <c r="D97" s="108">
        <f>E6</f>
        <v>310</v>
      </c>
      <c r="E97" s="106">
        <f>ROUND(B97*D97,2)</f>
        <v>3568.1</v>
      </c>
    </row>
    <row r="98" spans="1:5" x14ac:dyDescent="0.2">
      <c r="A98" s="107" t="s">
        <v>150</v>
      </c>
      <c r="B98" s="108">
        <v>0.5</v>
      </c>
      <c r="C98" s="143" t="s">
        <v>151</v>
      </c>
      <c r="D98" s="108">
        <v>659</v>
      </c>
      <c r="E98" s="106">
        <f>ROUND(B98*D98,2)</f>
        <v>329.5</v>
      </c>
    </row>
    <row r="99" spans="1:5" x14ac:dyDescent="0.2">
      <c r="A99" s="107" t="s">
        <v>152</v>
      </c>
      <c r="B99" s="108"/>
      <c r="C99" s="143"/>
      <c r="D99" s="108"/>
      <c r="E99" s="127">
        <f>SUM(E95+E96+E97)*0.03</f>
        <v>150.56159999999997</v>
      </c>
    </row>
    <row r="100" spans="1:5" ht="13.5" thickBot="1" x14ac:dyDescent="0.25">
      <c r="A100" s="117"/>
      <c r="B100" s="128"/>
      <c r="C100" s="144"/>
      <c r="D100" s="130" t="s">
        <v>140</v>
      </c>
      <c r="E100" s="131">
        <f>SUM(E95:E99)</f>
        <v>5498.7815999999993</v>
      </c>
    </row>
    <row r="101" spans="1:5" ht="13.5" thickTop="1" x14ac:dyDescent="0.2">
      <c r="A101" s="119"/>
      <c r="B101" s="122"/>
      <c r="C101" s="145"/>
      <c r="D101" s="134"/>
      <c r="E101" s="134"/>
    </row>
    <row r="102" spans="1:5" ht="13.5" thickBot="1" x14ac:dyDescent="0.25">
      <c r="A102" s="96" t="s">
        <v>21</v>
      </c>
      <c r="B102" s="94"/>
      <c r="C102" s="95"/>
      <c r="D102" s="94"/>
      <c r="E102" s="94"/>
    </row>
    <row r="103" spans="1:5" ht="13.5" thickTop="1" x14ac:dyDescent="0.2">
      <c r="A103" s="97" t="s">
        <v>156</v>
      </c>
      <c r="B103" s="98">
        <v>0.03</v>
      </c>
      <c r="C103" s="142" t="s">
        <v>10</v>
      </c>
      <c r="D103" s="146">
        <f>+E92</f>
        <v>5137.7254000000003</v>
      </c>
      <c r="E103" s="116">
        <f>ROUND(B103*D103,2)</f>
        <v>154.13</v>
      </c>
    </row>
    <row r="104" spans="1:5" x14ac:dyDescent="0.2">
      <c r="A104" s="107" t="s">
        <v>157</v>
      </c>
      <c r="B104" s="108">
        <v>0.03</v>
      </c>
      <c r="C104" s="143" t="s">
        <v>104</v>
      </c>
      <c r="D104" s="147">
        <v>45</v>
      </c>
      <c r="E104" s="106">
        <f>ROUND(B104*D104,2)</f>
        <v>1.35</v>
      </c>
    </row>
    <row r="105" spans="1:5" x14ac:dyDescent="0.2">
      <c r="A105" s="107" t="s">
        <v>158</v>
      </c>
      <c r="B105" s="108">
        <v>1</v>
      </c>
      <c r="C105" s="143" t="s">
        <v>14</v>
      </c>
      <c r="D105" s="147">
        <v>6</v>
      </c>
      <c r="E105" s="106">
        <f>ROUND(B105*D105,2)</f>
        <v>6</v>
      </c>
    </row>
    <row r="106" spans="1:5" x14ac:dyDescent="0.2">
      <c r="A106" s="107" t="s">
        <v>159</v>
      </c>
      <c r="B106" s="108">
        <v>1</v>
      </c>
      <c r="C106" s="143" t="s">
        <v>16</v>
      </c>
      <c r="D106" s="147">
        <v>149.19</v>
      </c>
      <c r="E106" s="106">
        <f>ROUND(B106*D106,2)</f>
        <v>149.19</v>
      </c>
    </row>
    <row r="107" spans="1:5" ht="13.5" thickBot="1" x14ac:dyDescent="0.25">
      <c r="A107" s="117"/>
      <c r="B107" s="128"/>
      <c r="C107" s="144"/>
      <c r="D107" s="130" t="s">
        <v>140</v>
      </c>
      <c r="E107" s="1286">
        <f>ROUND(SUM(E103:E106),2)</f>
        <v>310.67</v>
      </c>
    </row>
    <row r="108" spans="1:5" ht="13.5" thickTop="1" x14ac:dyDescent="0.2">
      <c r="A108" s="148" t="s">
        <v>160</v>
      </c>
      <c r="B108" s="149">
        <v>0.01</v>
      </c>
      <c r="C108" s="150" t="s">
        <v>23</v>
      </c>
      <c r="D108" s="151">
        <v>330.6</v>
      </c>
      <c r="E108" s="152">
        <f>(B108*D108)+E107</f>
        <v>313.976</v>
      </c>
    </row>
    <row r="109" spans="1:5" ht="13.5" thickBot="1" x14ac:dyDescent="0.25">
      <c r="A109" s="153" t="s">
        <v>161</v>
      </c>
      <c r="B109" s="128">
        <v>0.01</v>
      </c>
      <c r="C109" s="154" t="s">
        <v>23</v>
      </c>
      <c r="D109" s="155">
        <v>749.36</v>
      </c>
      <c r="E109" s="156">
        <f>(B109*D109)+E107</f>
        <v>318.16360000000003</v>
      </c>
    </row>
    <row r="110" spans="1:5" ht="13.5" thickTop="1" x14ac:dyDescent="0.2">
      <c r="A110" s="93"/>
      <c r="B110" s="94"/>
      <c r="C110" s="95"/>
      <c r="D110" s="141"/>
      <c r="E110" s="141"/>
    </row>
    <row r="111" spans="1:5" ht="13.5" thickBot="1" x14ac:dyDescent="0.25">
      <c r="A111" s="1271" t="s">
        <v>20</v>
      </c>
      <c r="B111" s="1272"/>
      <c r="C111" s="1273"/>
      <c r="D111" s="1272"/>
      <c r="E111" s="1272"/>
    </row>
    <row r="112" spans="1:5" ht="13.5" thickTop="1" x14ac:dyDescent="0.2">
      <c r="A112" s="1274" t="s">
        <v>162</v>
      </c>
      <c r="B112" s="1275">
        <v>0.03</v>
      </c>
      <c r="C112" s="1288" t="s">
        <v>10</v>
      </c>
      <c r="D112" s="1277">
        <f>+E92</f>
        <v>5137.7254000000003</v>
      </c>
      <c r="E112" s="969">
        <f>ROUND(B112*D112,2)</f>
        <v>154.13</v>
      </c>
    </row>
    <row r="113" spans="1:5" x14ac:dyDescent="0.2">
      <c r="A113" s="1278" t="s">
        <v>157</v>
      </c>
      <c r="B113" s="1279">
        <v>0.03</v>
      </c>
      <c r="C113" s="1350" t="s">
        <v>104</v>
      </c>
      <c r="D113" s="1281">
        <v>45</v>
      </c>
      <c r="E113" s="974">
        <f>ROUND(B113*D113,2)</f>
        <v>1.35</v>
      </c>
    </row>
    <row r="114" spans="1:5" x14ac:dyDescent="0.2">
      <c r="A114" s="1278" t="s">
        <v>158</v>
      </c>
      <c r="B114" s="1279">
        <v>1</v>
      </c>
      <c r="C114" s="1350" t="s">
        <v>14</v>
      </c>
      <c r="D114" s="1281">
        <v>6</v>
      </c>
      <c r="E114" s="974">
        <f>ROUND(B114*D114,2)</f>
        <v>6</v>
      </c>
    </row>
    <row r="115" spans="1:5" x14ac:dyDescent="0.2">
      <c r="A115" s="1278" t="s">
        <v>163</v>
      </c>
      <c r="B115" s="1279">
        <v>0.05</v>
      </c>
      <c r="C115" s="1350" t="s">
        <v>116</v>
      </c>
      <c r="D115" s="1281">
        <f>E6</f>
        <v>310</v>
      </c>
      <c r="E115" s="974">
        <f>ROUND(B115*D115,2)</f>
        <v>15.5</v>
      </c>
    </row>
    <row r="116" spans="1:5" x14ac:dyDescent="0.2">
      <c r="A116" s="1278" t="s">
        <v>164</v>
      </c>
      <c r="B116" s="1279">
        <v>1</v>
      </c>
      <c r="C116" s="1350" t="s">
        <v>16</v>
      </c>
      <c r="D116" s="1281">
        <v>136.61000000000001</v>
      </c>
      <c r="E116" s="974">
        <f>ROUND(B116*D116,2)</f>
        <v>136.61000000000001</v>
      </c>
    </row>
    <row r="117" spans="1:5" ht="13.5" thickBot="1" x14ac:dyDescent="0.25">
      <c r="A117" s="1282"/>
      <c r="B117" s="1283"/>
      <c r="C117" s="1351"/>
      <c r="D117" s="1295" t="s">
        <v>140</v>
      </c>
      <c r="E117" s="1286">
        <f>ROUND(SUM(E112:E116),2)</f>
        <v>313.58999999999997</v>
      </c>
    </row>
    <row r="118" spans="1:5" ht="14.25" thickTop="1" thickBot="1" x14ac:dyDescent="0.25">
      <c r="A118" s="1289" t="s">
        <v>165</v>
      </c>
      <c r="B118" s="1290"/>
      <c r="C118" s="1291"/>
      <c r="D118" s="1292"/>
      <c r="E118" s="1293">
        <f>ROUND(E117-E115,2)</f>
        <v>298.08999999999997</v>
      </c>
    </row>
    <row r="119" spans="1:5" ht="13.5" thickTop="1" x14ac:dyDescent="0.2">
      <c r="A119" s="157" t="s">
        <v>166</v>
      </c>
      <c r="B119" s="98">
        <v>0.01</v>
      </c>
      <c r="C119" s="158" t="s">
        <v>33</v>
      </c>
      <c r="D119" s="151">
        <v>330.6</v>
      </c>
      <c r="E119" s="159">
        <f>(B119*D119)+E118</f>
        <v>301.39599999999996</v>
      </c>
    </row>
    <row r="120" spans="1:5" x14ac:dyDescent="0.2">
      <c r="A120" s="160" t="s">
        <v>167</v>
      </c>
      <c r="B120" s="108">
        <v>0.01</v>
      </c>
      <c r="C120" s="161" t="s">
        <v>33</v>
      </c>
      <c r="D120" s="162">
        <v>330.6</v>
      </c>
      <c r="E120" s="163">
        <f>(B120*D120)+E117</f>
        <v>316.89599999999996</v>
      </c>
    </row>
    <row r="121" spans="1:5" x14ac:dyDescent="0.2">
      <c r="A121" s="160" t="s">
        <v>168</v>
      </c>
      <c r="B121" s="108">
        <v>0.01</v>
      </c>
      <c r="C121" s="161" t="s">
        <v>33</v>
      </c>
      <c r="D121" s="162">
        <v>749.36</v>
      </c>
      <c r="E121" s="163">
        <f>(B121*D121)+E118</f>
        <v>305.58359999999999</v>
      </c>
    </row>
    <row r="122" spans="1:5" ht="13.5" thickBot="1" x14ac:dyDescent="0.25">
      <c r="A122" s="153" t="s">
        <v>169</v>
      </c>
      <c r="B122" s="108">
        <v>0.01</v>
      </c>
      <c r="C122" s="154" t="s">
        <v>33</v>
      </c>
      <c r="D122" s="164">
        <v>749.36</v>
      </c>
      <c r="E122" s="163">
        <f>(B122*D122)+E117</f>
        <v>321.08359999999999</v>
      </c>
    </row>
    <row r="123" spans="1:5" ht="13.5" thickTop="1" x14ac:dyDescent="0.2">
      <c r="A123" s="93"/>
      <c r="B123" s="94"/>
      <c r="C123" s="95"/>
      <c r="D123" s="141"/>
      <c r="E123" s="165"/>
    </row>
    <row r="124" spans="1:5" ht="13.5" thickBot="1" x14ac:dyDescent="0.25">
      <c r="A124" s="1271" t="s">
        <v>29</v>
      </c>
      <c r="B124" s="1272"/>
      <c r="C124" s="1287"/>
      <c r="D124" s="1272"/>
      <c r="E124" s="1272"/>
    </row>
    <row r="125" spans="1:5" ht="13.5" thickTop="1" x14ac:dyDescent="0.2">
      <c r="A125" s="1274" t="s">
        <v>170</v>
      </c>
      <c r="B125" s="1275">
        <v>0.06</v>
      </c>
      <c r="C125" s="1288" t="s">
        <v>10</v>
      </c>
      <c r="D125" s="1277">
        <f>+E100</f>
        <v>5498.7815999999993</v>
      </c>
      <c r="E125" s="969">
        <f>ROUND(B125*D125,2)</f>
        <v>329.93</v>
      </c>
    </row>
    <row r="126" spans="1:5" x14ac:dyDescent="0.2">
      <c r="A126" s="1278" t="s">
        <v>157</v>
      </c>
      <c r="B126" s="1279">
        <v>0.33</v>
      </c>
      <c r="C126" s="1280" t="s">
        <v>104</v>
      </c>
      <c r="D126" s="1281">
        <v>45</v>
      </c>
      <c r="E126" s="974">
        <f>ROUND(B126*D126,2)</f>
        <v>14.85</v>
      </c>
    </row>
    <row r="127" spans="1:5" x14ac:dyDescent="0.2">
      <c r="A127" s="1278" t="s">
        <v>158</v>
      </c>
      <c r="B127" s="1279">
        <v>1</v>
      </c>
      <c r="C127" s="1280" t="s">
        <v>14</v>
      </c>
      <c r="D127" s="1281">
        <v>6</v>
      </c>
      <c r="E127" s="974">
        <f>ROUND(B127*D127,2)</f>
        <v>6</v>
      </c>
    </row>
    <row r="128" spans="1:5" x14ac:dyDescent="0.2">
      <c r="A128" s="1278" t="s">
        <v>171</v>
      </c>
      <c r="B128" s="1279">
        <v>1</v>
      </c>
      <c r="C128" s="1280" t="s">
        <v>14</v>
      </c>
      <c r="D128" s="1281">
        <v>6</v>
      </c>
      <c r="E128" s="974">
        <f>ROUND(B128*D128,2)</f>
        <v>6</v>
      </c>
    </row>
    <row r="129" spans="1:5" x14ac:dyDescent="0.2">
      <c r="A129" s="1278" t="s">
        <v>159</v>
      </c>
      <c r="B129" s="1279">
        <v>1</v>
      </c>
      <c r="C129" s="1280" t="s">
        <v>16</v>
      </c>
      <c r="D129" s="1281">
        <v>115.23</v>
      </c>
      <c r="E129" s="974">
        <f>ROUND(B129*D129,2)</f>
        <v>115.23</v>
      </c>
    </row>
    <row r="130" spans="1:5" ht="13.5" thickBot="1" x14ac:dyDescent="0.25">
      <c r="A130" s="1282"/>
      <c r="B130" s="1283"/>
      <c r="C130" s="1284" t="s">
        <v>172</v>
      </c>
      <c r="D130" s="1285" t="s">
        <v>173</v>
      </c>
      <c r="E130" s="1286">
        <f>ROUND(SUM(E125:E129),2)</f>
        <v>472.01</v>
      </c>
    </row>
    <row r="131" spans="1:5" ht="13.5" thickTop="1" x14ac:dyDescent="0.2">
      <c r="A131" s="167" t="s">
        <v>174</v>
      </c>
      <c r="B131" s="168"/>
      <c r="C131" s="169"/>
      <c r="D131" s="170"/>
      <c r="E131" s="171">
        <f>ROUND(E130+E115,2)</f>
        <v>487.51</v>
      </c>
    </row>
    <row r="132" spans="1:5" ht="13.5" thickBot="1" x14ac:dyDescent="0.25">
      <c r="A132" s="153" t="s">
        <v>175</v>
      </c>
      <c r="B132" s="128">
        <v>0.03</v>
      </c>
      <c r="C132" s="154" t="s">
        <v>33</v>
      </c>
      <c r="D132" s="172">
        <v>330.6</v>
      </c>
      <c r="E132" s="156">
        <f>(B132*D132)+E131</f>
        <v>497.428</v>
      </c>
    </row>
    <row r="133" spans="1:5" ht="13.5" thickTop="1" x14ac:dyDescent="0.2">
      <c r="A133" s="93"/>
      <c r="B133" s="94"/>
      <c r="C133" s="95"/>
      <c r="D133" s="141"/>
      <c r="E133" s="165"/>
    </row>
    <row r="134" spans="1:5" ht="13.5" thickBot="1" x14ac:dyDescent="0.25">
      <c r="A134" s="1271" t="s">
        <v>31</v>
      </c>
      <c r="B134" s="1272"/>
      <c r="C134" s="1273"/>
      <c r="D134" s="1272"/>
      <c r="E134" s="1272"/>
    </row>
    <row r="135" spans="1:5" ht="13.5" thickTop="1" x14ac:dyDescent="0.2">
      <c r="A135" s="1274" t="s">
        <v>176</v>
      </c>
      <c r="B135" s="1275">
        <v>0.06</v>
      </c>
      <c r="C135" s="1276" t="s">
        <v>10</v>
      </c>
      <c r="D135" s="1277">
        <f>E100</f>
        <v>5498.7815999999993</v>
      </c>
      <c r="E135" s="969">
        <f>ROUND(B135*D135,2)</f>
        <v>329.93</v>
      </c>
    </row>
    <row r="136" spans="1:5" x14ac:dyDescent="0.2">
      <c r="A136" s="1278" t="s">
        <v>157</v>
      </c>
      <c r="B136" s="1279">
        <v>0.33</v>
      </c>
      <c r="C136" s="1280" t="s">
        <v>104</v>
      </c>
      <c r="D136" s="1281">
        <v>45</v>
      </c>
      <c r="E136" s="974">
        <f>ROUND(B136*D136,2)</f>
        <v>14.85</v>
      </c>
    </row>
    <row r="137" spans="1:5" x14ac:dyDescent="0.2">
      <c r="A137" s="1278" t="s">
        <v>177</v>
      </c>
      <c r="B137" s="1279">
        <v>1</v>
      </c>
      <c r="C137" s="1280" t="s">
        <v>14</v>
      </c>
      <c r="D137" s="1281">
        <v>6</v>
      </c>
      <c r="E137" s="974">
        <f>ROUND(B137*D137,2)</f>
        <v>6</v>
      </c>
    </row>
    <row r="138" spans="1:5" x14ac:dyDescent="0.2">
      <c r="A138" s="1278" t="s">
        <v>159</v>
      </c>
      <c r="B138" s="1279">
        <v>1</v>
      </c>
      <c r="C138" s="1280" t="s">
        <v>16</v>
      </c>
      <c r="D138" s="1281">
        <v>118.69</v>
      </c>
      <c r="E138" s="974">
        <f>ROUND(B138*D138,2)</f>
        <v>118.69</v>
      </c>
    </row>
    <row r="139" spans="1:5" ht="13.5" thickBot="1" x14ac:dyDescent="0.25">
      <c r="A139" s="1282"/>
      <c r="B139" s="1283"/>
      <c r="C139" s="1284" t="s">
        <v>172</v>
      </c>
      <c r="D139" s="1285" t="s">
        <v>173</v>
      </c>
      <c r="E139" s="1286">
        <f>ROUND(SUM(E135:E138),2)</f>
        <v>469.47</v>
      </c>
    </row>
    <row r="140" spans="1:5" ht="13.5" thickTop="1" x14ac:dyDescent="0.2">
      <c r="A140" s="173"/>
      <c r="B140" s="122"/>
      <c r="C140" s="174"/>
      <c r="D140" s="134"/>
      <c r="E140" s="134"/>
    </row>
    <row r="141" spans="1:5" ht="13.5" thickBot="1" x14ac:dyDescent="0.25">
      <c r="A141" s="1271" t="s">
        <v>27</v>
      </c>
      <c r="B141" s="1272"/>
      <c r="C141" s="1287"/>
      <c r="D141" s="1272"/>
      <c r="E141" s="1272"/>
    </row>
    <row r="142" spans="1:5" ht="13.5" thickTop="1" x14ac:dyDescent="0.2">
      <c r="A142" s="1274" t="s">
        <v>178</v>
      </c>
      <c r="B142" s="1294">
        <v>4.3E-3</v>
      </c>
      <c r="C142" s="1276" t="s">
        <v>10</v>
      </c>
      <c r="D142" s="1277">
        <f>+E92</f>
        <v>5137.7254000000003</v>
      </c>
      <c r="E142" s="969">
        <f>ROUND(B142*D142,2)</f>
        <v>22.09</v>
      </c>
    </row>
    <row r="143" spans="1:5" x14ac:dyDescent="0.2">
      <c r="A143" s="1278" t="s">
        <v>157</v>
      </c>
      <c r="B143" s="1279">
        <v>0.11</v>
      </c>
      <c r="C143" s="1280" t="s">
        <v>104</v>
      </c>
      <c r="D143" s="1281">
        <v>45</v>
      </c>
      <c r="E143" s="974">
        <f>ROUND(B143*D143,2)</f>
        <v>4.95</v>
      </c>
    </row>
    <row r="144" spans="1:5" x14ac:dyDescent="0.2">
      <c r="A144" s="1278" t="s">
        <v>159</v>
      </c>
      <c r="B144" s="1279">
        <v>1</v>
      </c>
      <c r="C144" s="1280" t="s">
        <v>8</v>
      </c>
      <c r="D144" s="1281">
        <v>59.5</v>
      </c>
      <c r="E144" s="974">
        <f>ROUND(B144*D144,2)</f>
        <v>59.5</v>
      </c>
    </row>
    <row r="145" spans="1:7" ht="13.5" thickBot="1" x14ac:dyDescent="0.25">
      <c r="A145" s="1282"/>
      <c r="B145" s="1283"/>
      <c r="C145" s="1284" t="s">
        <v>172</v>
      </c>
      <c r="D145" s="1295" t="s">
        <v>179</v>
      </c>
      <c r="E145" s="1286">
        <f>ROUND(SUM(E142:E144),2)</f>
        <v>86.54</v>
      </c>
    </row>
    <row r="146" spans="1:7" ht="13.5" thickTop="1" x14ac:dyDescent="0.2">
      <c r="A146" s="119"/>
      <c r="B146" s="122"/>
      <c r="C146" s="95"/>
      <c r="D146" s="134"/>
      <c r="E146" s="134"/>
    </row>
    <row r="147" spans="1:7" ht="13.5" thickBot="1" x14ac:dyDescent="0.25">
      <c r="A147" s="175" t="s">
        <v>180</v>
      </c>
      <c r="B147" s="176"/>
      <c r="C147" s="177"/>
      <c r="D147" s="176"/>
      <c r="E147" s="176"/>
    </row>
    <row r="148" spans="1:7" ht="13.5" thickTop="1" x14ac:dyDescent="0.2">
      <c r="A148" s="178" t="s">
        <v>181</v>
      </c>
      <c r="B148" s="179">
        <v>1.9499999999999999E-3</v>
      </c>
      <c r="C148" s="180" t="s">
        <v>10</v>
      </c>
      <c r="D148" s="181">
        <f>E92</f>
        <v>5137.7254000000003</v>
      </c>
      <c r="E148" s="116">
        <f>ROUND(B148*D148,2)</f>
        <v>10.02</v>
      </c>
    </row>
    <row r="149" spans="1:7" x14ac:dyDescent="0.2">
      <c r="A149" s="182" t="s">
        <v>182</v>
      </c>
      <c r="B149" s="183">
        <v>3.3300000000000003E-2</v>
      </c>
      <c r="C149" s="184" t="s">
        <v>104</v>
      </c>
      <c r="D149" s="185">
        <v>45</v>
      </c>
      <c r="E149" s="106">
        <f>ROUND(B149*D149,2)</f>
        <v>1.5</v>
      </c>
    </row>
    <row r="150" spans="1:7" x14ac:dyDescent="0.2">
      <c r="A150" s="182" t="s">
        <v>159</v>
      </c>
      <c r="B150" s="186">
        <v>1</v>
      </c>
      <c r="C150" s="184" t="s">
        <v>16</v>
      </c>
      <c r="D150" s="185">
        <v>30.77</v>
      </c>
      <c r="E150" s="106">
        <f>ROUND(B150*D150,2)</f>
        <v>30.77</v>
      </c>
    </row>
    <row r="151" spans="1:7" ht="13.5" thickBot="1" x14ac:dyDescent="0.25">
      <c r="A151" s="187"/>
      <c r="B151" s="188"/>
      <c r="C151" s="189"/>
      <c r="D151" s="190" t="s">
        <v>16</v>
      </c>
      <c r="E151" s="191">
        <f>SUM(E148:E150)</f>
        <v>42.29</v>
      </c>
      <c r="G151" s="1026"/>
    </row>
    <row r="152" spans="1:7" ht="13.5" thickTop="1" x14ac:dyDescent="0.2">
      <c r="A152" s="119"/>
      <c r="B152" s="122"/>
      <c r="C152" s="95"/>
      <c r="D152" s="134"/>
      <c r="E152" s="134"/>
    </row>
    <row r="153" spans="1:7" ht="13.5" thickBot="1" x14ac:dyDescent="0.25">
      <c r="A153" s="192" t="s">
        <v>183</v>
      </c>
      <c r="B153" s="14"/>
      <c r="C153" s="14"/>
      <c r="D153" s="14"/>
      <c r="E153" s="14"/>
    </row>
    <row r="154" spans="1:7" ht="25.5" customHeight="1" thickTop="1" x14ac:dyDescent="0.2">
      <c r="A154" s="193" t="s">
        <v>184</v>
      </c>
      <c r="B154" s="194">
        <v>1.9499999999999999E-3</v>
      </c>
      <c r="C154" s="195" t="s">
        <v>10</v>
      </c>
      <c r="D154" s="196">
        <f>E92</f>
        <v>5137.7254000000003</v>
      </c>
      <c r="E154" s="116">
        <f>ROUND(B154*D154,2)</f>
        <v>10.02</v>
      </c>
    </row>
    <row r="155" spans="1:7" x14ac:dyDescent="0.2">
      <c r="A155" s="197" t="s">
        <v>185</v>
      </c>
      <c r="B155" s="198">
        <v>1</v>
      </c>
      <c r="C155" s="199" t="s">
        <v>16</v>
      </c>
      <c r="D155" s="198">
        <v>32.479999999999997</v>
      </c>
      <c r="E155" s="106">
        <f>ROUND(B155*D155,2)</f>
        <v>32.479999999999997</v>
      </c>
    </row>
    <row r="156" spans="1:7" ht="13.5" thickBot="1" x14ac:dyDescent="0.25">
      <c r="A156" s="200"/>
      <c r="B156" s="201"/>
      <c r="C156" s="202"/>
      <c r="D156" s="203" t="s">
        <v>186</v>
      </c>
      <c r="E156" s="204">
        <f>SUM(E154:E155)</f>
        <v>42.5</v>
      </c>
    </row>
    <row r="157" spans="1:7" ht="13.5" thickTop="1" x14ac:dyDescent="0.2">
      <c r="A157" s="119"/>
      <c r="B157" s="122"/>
      <c r="C157" s="95"/>
      <c r="D157" s="134"/>
      <c r="E157" s="134"/>
    </row>
    <row r="158" spans="1:7" ht="13.5" thickBot="1" x14ac:dyDescent="0.25">
      <c r="A158" s="205" t="s">
        <v>187</v>
      </c>
      <c r="B158" s="176"/>
      <c r="C158" s="177"/>
      <c r="D158" s="206" t="s">
        <v>188</v>
      </c>
      <c r="E158" s="207">
        <v>1200</v>
      </c>
    </row>
    <row r="159" spans="1:7" ht="14.25" thickTop="1" thickBot="1" x14ac:dyDescent="0.25">
      <c r="A159" s="178" t="s">
        <v>189</v>
      </c>
      <c r="B159" s="208">
        <v>1</v>
      </c>
      <c r="C159" s="180" t="s">
        <v>16</v>
      </c>
      <c r="D159" s="181">
        <v>60</v>
      </c>
      <c r="E159" s="116">
        <f>ROUND(B159*D159,2)</f>
        <v>60</v>
      </c>
    </row>
    <row r="160" spans="1:7" ht="14.25" thickTop="1" thickBot="1" x14ac:dyDescent="0.25">
      <c r="A160" s="182" t="s">
        <v>190</v>
      </c>
      <c r="B160" s="209">
        <v>1</v>
      </c>
      <c r="C160" s="184" t="s">
        <v>16</v>
      </c>
      <c r="D160" s="185">
        <v>54.26</v>
      </c>
      <c r="E160" s="116">
        <f t="shared" ref="E160:E161" si="1">ROUND(B160*D160,2)</f>
        <v>54.26</v>
      </c>
      <c r="G160" s="1026"/>
    </row>
    <row r="161" spans="1:6" s="1447" customFormat="1" ht="13.5" thickTop="1" x14ac:dyDescent="0.2">
      <c r="A161" s="182" t="s">
        <v>843</v>
      </c>
      <c r="B161" s="209">
        <v>1</v>
      </c>
      <c r="C161" s="184" t="s">
        <v>16</v>
      </c>
      <c r="D161" s="185">
        <v>43.93</v>
      </c>
      <c r="E161" s="116">
        <f t="shared" si="1"/>
        <v>43.93</v>
      </c>
      <c r="F161" s="1025"/>
    </row>
    <row r="162" spans="1:6" x14ac:dyDescent="0.2">
      <c r="A162" s="182" t="s">
        <v>191</v>
      </c>
      <c r="B162" s="186">
        <v>1</v>
      </c>
      <c r="C162" s="184" t="s">
        <v>25</v>
      </c>
      <c r="D162" s="185">
        <f>E159*0.03</f>
        <v>1.7999999999999998</v>
      </c>
      <c r="E162" s="106">
        <f>ROUND(B162*D162,2)</f>
        <v>1.8</v>
      </c>
    </row>
    <row r="163" spans="1:6" ht="13.5" thickBot="1" x14ac:dyDescent="0.25">
      <c r="A163" s="187"/>
      <c r="B163" s="188"/>
      <c r="C163" s="189"/>
      <c r="D163" s="203" t="s">
        <v>192</v>
      </c>
      <c r="E163" s="191">
        <f>SUM(E159:E162)</f>
        <v>159.99</v>
      </c>
    </row>
    <row r="164" spans="1:6" ht="13.5" thickTop="1" x14ac:dyDescent="0.2">
      <c r="A164" s="119"/>
      <c r="B164" s="122"/>
      <c r="C164" s="95"/>
      <c r="D164" s="134"/>
      <c r="E164" s="134"/>
    </row>
    <row r="165" spans="1:6" ht="13.5" thickBot="1" x14ac:dyDescent="0.25">
      <c r="A165" s="1424" t="s">
        <v>193</v>
      </c>
      <c r="B165" s="1425"/>
      <c r="C165" s="1426"/>
      <c r="D165" s="1427"/>
      <c r="E165" s="1427"/>
    </row>
    <row r="166" spans="1:6" ht="13.5" thickTop="1" x14ac:dyDescent="0.2">
      <c r="A166" s="1428" t="s">
        <v>194</v>
      </c>
      <c r="B166" s="1429">
        <v>1.05</v>
      </c>
      <c r="C166" s="1430" t="s">
        <v>10</v>
      </c>
      <c r="D166" s="1431">
        <f>E92</f>
        <v>5137.7254000000003</v>
      </c>
      <c r="E166" s="969">
        <f>ROUND(B166*D166,2)</f>
        <v>5394.61</v>
      </c>
    </row>
    <row r="167" spans="1:6" x14ac:dyDescent="0.2">
      <c r="A167" s="1432" t="s">
        <v>195</v>
      </c>
      <c r="B167" s="1433">
        <v>88.88</v>
      </c>
      <c r="C167" s="1434" t="s">
        <v>15</v>
      </c>
      <c r="D167" s="1435">
        <v>63.32</v>
      </c>
      <c r="E167" s="974">
        <f>ROUND(B167*D167,2)</f>
        <v>5627.88</v>
      </c>
    </row>
    <row r="168" spans="1:6" x14ac:dyDescent="0.2">
      <c r="A168" s="1436"/>
      <c r="B168" s="1437"/>
      <c r="C168" s="1586" t="s">
        <v>196</v>
      </c>
      <c r="D168" s="1587"/>
      <c r="E168" s="1438">
        <f>SUM(E166:E167)</f>
        <v>11022.49</v>
      </c>
    </row>
    <row r="169" spans="1:6" ht="13.5" thickBot="1" x14ac:dyDescent="0.25">
      <c r="A169" s="1439"/>
      <c r="B169" s="1440"/>
      <c r="C169" s="1588" t="s">
        <v>197</v>
      </c>
      <c r="D169" s="1589"/>
      <c r="E169" s="1441">
        <f>(E168*((0.15*0.15)/2))</f>
        <v>124.0030125</v>
      </c>
    </row>
    <row r="170" spans="1:6" ht="13.5" thickTop="1" x14ac:dyDescent="0.2">
      <c r="A170" s="119"/>
      <c r="B170" s="122"/>
      <c r="C170" s="95"/>
      <c r="D170" s="134"/>
      <c r="E170" s="134"/>
    </row>
    <row r="171" spans="1:6" ht="13.5" thickBot="1" x14ac:dyDescent="0.25">
      <c r="A171" s="213" t="s">
        <v>198</v>
      </c>
      <c r="B171" s="214"/>
      <c r="C171" s="93"/>
      <c r="D171" s="134"/>
      <c r="E171" s="134"/>
    </row>
    <row r="172" spans="1:6" ht="13.5" thickTop="1" x14ac:dyDescent="0.2">
      <c r="A172" s="97" t="s">
        <v>199</v>
      </c>
      <c r="B172" s="98">
        <v>1</v>
      </c>
      <c r="C172" s="124" t="s">
        <v>122</v>
      </c>
      <c r="D172" s="98">
        <f>E11</f>
        <v>2200</v>
      </c>
      <c r="E172" s="116">
        <f>ROUND(B172*D172,2)</f>
        <v>2200</v>
      </c>
    </row>
    <row r="173" spans="1:6" x14ac:dyDescent="0.2">
      <c r="A173" s="215" t="s">
        <v>200</v>
      </c>
      <c r="B173" s="103">
        <v>1</v>
      </c>
      <c r="C173" s="140" t="s">
        <v>122</v>
      </c>
      <c r="D173" s="103">
        <v>82.28</v>
      </c>
      <c r="E173" s="106">
        <f>ROUND(B173*D173,2)</f>
        <v>82.28</v>
      </c>
    </row>
    <row r="174" spans="1:6" x14ac:dyDescent="0.2">
      <c r="A174" s="107" t="s">
        <v>201</v>
      </c>
      <c r="B174" s="108">
        <v>2</v>
      </c>
      <c r="C174" s="126" t="s">
        <v>202</v>
      </c>
      <c r="D174" s="108">
        <v>38</v>
      </c>
      <c r="E174" s="106">
        <f>ROUND(B174*D174,2)</f>
        <v>76</v>
      </c>
    </row>
    <row r="175" spans="1:6" ht="13.5" thickBot="1" x14ac:dyDescent="0.25">
      <c r="A175" s="117"/>
      <c r="B175" s="128"/>
      <c r="C175" s="166"/>
      <c r="D175" s="130" t="s">
        <v>140</v>
      </c>
      <c r="E175" s="216">
        <f>SUM(E172:E174)</f>
        <v>2358.2800000000002</v>
      </c>
    </row>
    <row r="176" spans="1:6" ht="13.5" thickTop="1" x14ac:dyDescent="0.2">
      <c r="A176" s="119"/>
      <c r="B176" s="122"/>
      <c r="C176" s="119"/>
      <c r="D176" s="122"/>
      <c r="E176" s="134"/>
    </row>
    <row r="177" spans="1:5" ht="13.5" thickBot="1" x14ac:dyDescent="0.25">
      <c r="A177" s="1296" t="s">
        <v>203</v>
      </c>
      <c r="B177" s="1297"/>
      <c r="C177" s="1298"/>
      <c r="D177" s="1299"/>
      <c r="E177" s="1299"/>
    </row>
    <row r="178" spans="1:5" ht="13.5" thickTop="1" x14ac:dyDescent="0.2">
      <c r="A178" s="1274" t="s">
        <v>199</v>
      </c>
      <c r="B178" s="1275">
        <v>1</v>
      </c>
      <c r="C178" s="1276" t="s">
        <v>122</v>
      </c>
      <c r="D178" s="1275">
        <f>E11</f>
        <v>2200</v>
      </c>
      <c r="E178" s="969">
        <f>ROUND(B178*D178,2)</f>
        <v>2200</v>
      </c>
    </row>
    <row r="179" spans="1:5" x14ac:dyDescent="0.2">
      <c r="A179" s="1300" t="s">
        <v>200</v>
      </c>
      <c r="B179" s="1279">
        <v>1</v>
      </c>
      <c r="C179" s="1280" t="s">
        <v>122</v>
      </c>
      <c r="D179" s="1279">
        <v>246.86</v>
      </c>
      <c r="E179" s="974">
        <f>ROUND(B179*D179,2)</f>
        <v>246.86</v>
      </c>
    </row>
    <row r="180" spans="1:5" x14ac:dyDescent="0.2">
      <c r="A180" s="1278" t="s">
        <v>201</v>
      </c>
      <c r="B180" s="1279">
        <v>2</v>
      </c>
      <c r="C180" s="1280" t="s">
        <v>202</v>
      </c>
      <c r="D180" s="1279">
        <v>38</v>
      </c>
      <c r="E180" s="974">
        <f>ROUND(B180*D180,2)</f>
        <v>76</v>
      </c>
    </row>
    <row r="181" spans="1:5" ht="13.5" thickBot="1" x14ac:dyDescent="0.25">
      <c r="A181" s="1282"/>
      <c r="B181" s="1283"/>
      <c r="C181" s="1284"/>
      <c r="D181" s="1295" t="s">
        <v>140</v>
      </c>
      <c r="E181" s="1286">
        <f>SUM(E178:E180)</f>
        <v>2522.86</v>
      </c>
    </row>
    <row r="182" spans="1:5" ht="13.5" thickTop="1" x14ac:dyDescent="0.2">
      <c r="A182" s="119"/>
      <c r="B182" s="122"/>
      <c r="C182" s="174"/>
      <c r="D182" s="134"/>
      <c r="E182" s="134"/>
    </row>
    <row r="183" spans="1:5" x14ac:dyDescent="0.2">
      <c r="A183" s="217" t="s">
        <v>204</v>
      </c>
      <c r="B183" s="218"/>
      <c r="C183" s="217"/>
      <c r="D183" s="218"/>
      <c r="E183" s="218"/>
    </row>
    <row r="184" spans="1:5" x14ac:dyDescent="0.2">
      <c r="A184" s="93"/>
      <c r="B184" s="94"/>
      <c r="C184" s="93"/>
      <c r="D184" s="94"/>
      <c r="E184" s="94"/>
    </row>
    <row r="185" spans="1:5" ht="13.5" thickBot="1" x14ac:dyDescent="0.25">
      <c r="A185" s="96" t="s">
        <v>205</v>
      </c>
      <c r="B185" s="94"/>
      <c r="C185" s="93"/>
      <c r="D185" s="94"/>
      <c r="E185" s="94"/>
    </row>
    <row r="186" spans="1:5" ht="13.5" thickTop="1" x14ac:dyDescent="0.2">
      <c r="A186" s="97" t="s">
        <v>118</v>
      </c>
      <c r="B186" s="98">
        <v>0.52</v>
      </c>
      <c r="C186" s="219" t="s">
        <v>10</v>
      </c>
      <c r="D186" s="98">
        <f>+E24</f>
        <v>1028.02</v>
      </c>
      <c r="E186" s="116">
        <f>ROUND(B186*D186,2)</f>
        <v>534.57000000000005</v>
      </c>
    </row>
    <row r="187" spans="1:5" x14ac:dyDescent="0.2">
      <c r="A187" s="107" t="s">
        <v>119</v>
      </c>
      <c r="B187" s="108">
        <v>0.85</v>
      </c>
      <c r="C187" s="220" t="s">
        <v>10</v>
      </c>
      <c r="D187" s="108">
        <f>E30</f>
        <v>1178.02</v>
      </c>
      <c r="E187" s="106">
        <f>ROUND(B187*D187,2)</f>
        <v>1001.32</v>
      </c>
    </row>
    <row r="188" spans="1:5" x14ac:dyDescent="0.2">
      <c r="A188" s="107" t="s">
        <v>114</v>
      </c>
      <c r="B188" s="108">
        <v>60</v>
      </c>
      <c r="C188" s="220" t="s">
        <v>33</v>
      </c>
      <c r="D188" s="108">
        <f>E5</f>
        <v>2.5</v>
      </c>
      <c r="E188" s="106">
        <f>ROUND(B188*D188,2)</f>
        <v>150</v>
      </c>
    </row>
    <row r="189" spans="1:5" x14ac:dyDescent="0.2">
      <c r="A189" s="107" t="s">
        <v>206</v>
      </c>
      <c r="B189" s="108">
        <v>6.4</v>
      </c>
      <c r="C189" s="221" t="s">
        <v>137</v>
      </c>
      <c r="D189" s="108">
        <f>E6</f>
        <v>310</v>
      </c>
      <c r="E189" s="106">
        <f>ROUND(B189*D189,2)</f>
        <v>1984</v>
      </c>
    </row>
    <row r="190" spans="1:5" x14ac:dyDescent="0.2">
      <c r="A190" s="107" t="s">
        <v>207</v>
      </c>
      <c r="B190" s="108">
        <v>0.5</v>
      </c>
      <c r="C190" s="220" t="s">
        <v>151</v>
      </c>
      <c r="D190" s="108">
        <v>659</v>
      </c>
      <c r="E190" s="106">
        <f>ROUND(B190*D190,2)</f>
        <v>329.5</v>
      </c>
    </row>
    <row r="191" spans="1:5" x14ac:dyDescent="0.2">
      <c r="A191" s="215" t="s">
        <v>208</v>
      </c>
      <c r="B191" s="108"/>
      <c r="C191" s="222"/>
      <c r="D191" s="108"/>
      <c r="E191" s="127">
        <f>SUM(E186+E188+E189)*0.03</f>
        <v>80.057100000000005</v>
      </c>
    </row>
    <row r="192" spans="1:5" ht="13.5" thickBot="1" x14ac:dyDescent="0.25">
      <c r="A192" s="117"/>
      <c r="B192" s="128"/>
      <c r="C192" s="223"/>
      <c r="D192" s="130" t="s">
        <v>140</v>
      </c>
      <c r="E192" s="131">
        <f>SUM(E186:E191)</f>
        <v>4079.4471000000003</v>
      </c>
    </row>
    <row r="193" spans="1:5" ht="13.5" thickTop="1" x14ac:dyDescent="0.2">
      <c r="A193" s="93"/>
      <c r="B193" s="94"/>
      <c r="C193" s="93"/>
      <c r="D193" s="141"/>
      <c r="E193" s="141"/>
    </row>
    <row r="194" spans="1:5" ht="13.5" thickBot="1" x14ac:dyDescent="0.25">
      <c r="A194" s="137" t="s">
        <v>209</v>
      </c>
      <c r="B194" s="94"/>
      <c r="C194" s="93"/>
      <c r="D194" s="94"/>
      <c r="E194" s="94"/>
    </row>
    <row r="195" spans="1:5" ht="13.5" thickTop="1" x14ac:dyDescent="0.2">
      <c r="A195" s="97" t="s">
        <v>210</v>
      </c>
      <c r="B195" s="98">
        <v>0.8</v>
      </c>
      <c r="C195" s="219" t="s">
        <v>10</v>
      </c>
      <c r="D195" s="98">
        <f>+E77</f>
        <v>4617.9513999999999</v>
      </c>
      <c r="E195" s="116">
        <f>ROUND(B195*D195,2)</f>
        <v>3694.36</v>
      </c>
    </row>
    <row r="196" spans="1:5" x14ac:dyDescent="0.2">
      <c r="A196" s="107" t="s">
        <v>211</v>
      </c>
      <c r="B196" s="108">
        <v>0.45</v>
      </c>
      <c r="C196" s="220" t="s">
        <v>10</v>
      </c>
      <c r="D196" s="108">
        <v>250</v>
      </c>
      <c r="E196" s="106">
        <f>ROUND(B196*D196,2)</f>
        <v>112.5</v>
      </c>
    </row>
    <row r="197" spans="1:5" x14ac:dyDescent="0.2">
      <c r="A197" s="107" t="s">
        <v>159</v>
      </c>
      <c r="B197" s="108">
        <v>1</v>
      </c>
      <c r="C197" s="220" t="s">
        <v>10</v>
      </c>
      <c r="D197" s="108">
        <v>200</v>
      </c>
      <c r="E197" s="106">
        <f>ROUND(B197*D197,2)</f>
        <v>200</v>
      </c>
    </row>
    <row r="198" spans="1:5" ht="13.5" thickBot="1" x14ac:dyDescent="0.25">
      <c r="A198" s="117"/>
      <c r="B198" s="128"/>
      <c r="C198" s="223"/>
      <c r="D198" s="130" t="s">
        <v>140</v>
      </c>
      <c r="E198" s="131">
        <f>ROUND(SUM(E195:E197),2)</f>
        <v>4006.86</v>
      </c>
    </row>
    <row r="199" spans="1:5" ht="13.5" thickTop="1" x14ac:dyDescent="0.2">
      <c r="A199" s="224"/>
      <c r="B199" s="224"/>
      <c r="C199" s="224"/>
      <c r="D199" s="225"/>
      <c r="E199" s="226"/>
    </row>
    <row r="200" spans="1:5" ht="13.5" thickBot="1" x14ac:dyDescent="0.25">
      <c r="A200" s="137" t="s">
        <v>212</v>
      </c>
      <c r="B200" s="94"/>
      <c r="C200" s="93"/>
      <c r="D200" s="94"/>
      <c r="E200" s="94"/>
    </row>
    <row r="201" spans="1:5" ht="13.5" thickTop="1" x14ac:dyDescent="0.2">
      <c r="A201" s="97" t="s">
        <v>119</v>
      </c>
      <c r="B201" s="98">
        <v>1</v>
      </c>
      <c r="C201" s="219" t="s">
        <v>10</v>
      </c>
      <c r="D201" s="98">
        <f>+E30</f>
        <v>1178.02</v>
      </c>
      <c r="E201" s="116">
        <f>ROUND(B201*D201,2)</f>
        <v>1178.02</v>
      </c>
    </row>
    <row r="202" spans="1:5" x14ac:dyDescent="0.2">
      <c r="A202" s="107" t="s">
        <v>213</v>
      </c>
      <c r="B202" s="108">
        <v>1</v>
      </c>
      <c r="C202" s="220" t="s">
        <v>10</v>
      </c>
      <c r="D202" s="108">
        <v>43.9</v>
      </c>
      <c r="E202" s="106">
        <f>ROUND(B202*D202,2)</f>
        <v>43.9</v>
      </c>
    </row>
    <row r="203" spans="1:5" x14ac:dyDescent="0.2">
      <c r="A203" s="107" t="s">
        <v>214</v>
      </c>
      <c r="B203" s="108">
        <v>0.03</v>
      </c>
      <c r="C203" s="220" t="s">
        <v>13</v>
      </c>
      <c r="D203" s="108">
        <f>+E201</f>
        <v>1178.02</v>
      </c>
      <c r="E203" s="106">
        <f>ROUND(B203*D203,2)</f>
        <v>35.340000000000003</v>
      </c>
    </row>
    <row r="204" spans="1:5" ht="13.5" thickBot="1" x14ac:dyDescent="0.25">
      <c r="A204" s="117"/>
      <c r="B204" s="128"/>
      <c r="C204" s="223"/>
      <c r="D204" s="130" t="s">
        <v>140</v>
      </c>
      <c r="E204" s="131">
        <f>SUM(E201:E203)</f>
        <v>1257.26</v>
      </c>
    </row>
    <row r="205" spans="1:5" ht="13.5" thickTop="1" x14ac:dyDescent="0.2">
      <c r="A205" s="224"/>
      <c r="B205" s="224"/>
      <c r="C205" s="224"/>
      <c r="D205" s="225"/>
      <c r="E205" s="226"/>
    </row>
    <row r="206" spans="1:5" ht="13.5" thickBot="1" x14ac:dyDescent="0.25">
      <c r="A206" s="227" t="s">
        <v>215</v>
      </c>
      <c r="B206" s="224"/>
      <c r="C206" s="224"/>
      <c r="D206" s="224"/>
      <c r="E206" s="224"/>
    </row>
    <row r="207" spans="1:5" ht="13.5" thickTop="1" x14ac:dyDescent="0.2">
      <c r="A207" s="228" t="s">
        <v>216</v>
      </c>
      <c r="B207" s="229">
        <v>13</v>
      </c>
      <c r="C207" s="230" t="s">
        <v>24</v>
      </c>
      <c r="D207" s="98">
        <v>24.5</v>
      </c>
      <c r="E207" s="116">
        <f t="shared" ref="E207:E214" si="2">ROUND(B207*D207,2)</f>
        <v>318.5</v>
      </c>
    </row>
    <row r="208" spans="1:5" x14ac:dyDescent="0.2">
      <c r="A208" s="231" t="s">
        <v>217</v>
      </c>
      <c r="B208" s="232">
        <v>13</v>
      </c>
      <c r="C208" s="233" t="s">
        <v>24</v>
      </c>
      <c r="D208" s="108">
        <v>18.850000000000001</v>
      </c>
      <c r="E208" s="106">
        <f t="shared" si="2"/>
        <v>245.05</v>
      </c>
    </row>
    <row r="209" spans="1:5" x14ac:dyDescent="0.2">
      <c r="A209" s="234" t="s">
        <v>218</v>
      </c>
      <c r="B209" s="235">
        <v>3.1199999999999999E-2</v>
      </c>
      <c r="C209" s="233" t="s">
        <v>10</v>
      </c>
      <c r="D209" s="108">
        <f>E100</f>
        <v>5498.7815999999993</v>
      </c>
      <c r="E209" s="106">
        <f t="shared" si="2"/>
        <v>171.56</v>
      </c>
    </row>
    <row r="210" spans="1:5" x14ac:dyDescent="0.2">
      <c r="A210" s="231" t="s">
        <v>219</v>
      </c>
      <c r="B210" s="236">
        <v>0.01</v>
      </c>
      <c r="C210" s="233" t="s">
        <v>10</v>
      </c>
      <c r="D210" s="108">
        <f>E192</f>
        <v>4079.4471000000003</v>
      </c>
      <c r="E210" s="106">
        <f t="shared" si="2"/>
        <v>40.79</v>
      </c>
    </row>
    <row r="211" spans="1:5" x14ac:dyDescent="0.2">
      <c r="A211" s="231" t="s">
        <v>220</v>
      </c>
      <c r="B211" s="235">
        <v>2.9600000000000001E-2</v>
      </c>
      <c r="C211" s="233" t="s">
        <v>122</v>
      </c>
      <c r="D211" s="108">
        <f>E181</f>
        <v>2522.86</v>
      </c>
      <c r="E211" s="106">
        <f t="shared" si="2"/>
        <v>74.680000000000007</v>
      </c>
    </row>
    <row r="212" spans="1:5" x14ac:dyDescent="0.2">
      <c r="A212" s="231" t="s">
        <v>221</v>
      </c>
      <c r="B212" s="235">
        <v>0.18179999999999999</v>
      </c>
      <c r="C212" s="233" t="s">
        <v>104</v>
      </c>
      <c r="D212" s="108">
        <v>45</v>
      </c>
      <c r="E212" s="106">
        <f t="shared" si="2"/>
        <v>8.18</v>
      </c>
    </row>
    <row r="213" spans="1:5" x14ac:dyDescent="0.2">
      <c r="A213" s="231" t="s">
        <v>222</v>
      </c>
      <c r="B213" s="235">
        <v>2.3E-2</v>
      </c>
      <c r="C213" s="233" t="s">
        <v>151</v>
      </c>
      <c r="D213" s="108">
        <v>659</v>
      </c>
      <c r="E213" s="106">
        <f t="shared" si="2"/>
        <v>15.16</v>
      </c>
    </row>
    <row r="214" spans="1:5" x14ac:dyDescent="0.2">
      <c r="A214" s="231" t="s">
        <v>223</v>
      </c>
      <c r="B214" s="236">
        <v>0.01</v>
      </c>
      <c r="C214" s="233" t="s">
        <v>10</v>
      </c>
      <c r="D214" s="108">
        <v>659</v>
      </c>
      <c r="E214" s="106">
        <f t="shared" si="2"/>
        <v>6.59</v>
      </c>
    </row>
    <row r="215" spans="1:5" ht="13.5" thickBot="1" x14ac:dyDescent="0.25">
      <c r="A215" s="237"/>
      <c r="B215" s="238"/>
      <c r="C215" s="1590" t="s">
        <v>224</v>
      </c>
      <c r="D215" s="1591"/>
      <c r="E215" s="1375">
        <f>ROUND(SUM(E207:E214),2)</f>
        <v>880.51</v>
      </c>
    </row>
    <row r="216" spans="1:5" ht="13.5" thickTop="1" x14ac:dyDescent="0.2">
      <c r="A216" s="224"/>
      <c r="B216" s="1592" t="s">
        <v>225</v>
      </c>
      <c r="C216" s="1592"/>
      <c r="D216" s="1592"/>
      <c r="E216" s="240">
        <f>(E215-E210)+((B210*5)*D210)</f>
        <v>1043.6923550000001</v>
      </c>
    </row>
    <row r="217" spans="1:5" x14ac:dyDescent="0.2">
      <c r="A217" s="224"/>
      <c r="B217" s="241"/>
      <c r="C217" s="241"/>
      <c r="D217" s="241" t="s">
        <v>226</v>
      </c>
      <c r="E217" s="242">
        <f>E215-(E212+E213)</f>
        <v>857.17</v>
      </c>
    </row>
    <row r="218" spans="1:5" x14ac:dyDescent="0.2">
      <c r="A218" s="224"/>
      <c r="B218" s="241"/>
      <c r="C218" s="241"/>
      <c r="D218" s="241"/>
      <c r="E218" s="240"/>
    </row>
    <row r="219" spans="1:5" ht="13.5" thickBot="1" x14ac:dyDescent="0.25">
      <c r="A219" s="1408" t="s">
        <v>227</v>
      </c>
      <c r="B219" s="1409"/>
      <c r="C219" s="1410"/>
      <c r="D219" s="1411"/>
      <c r="E219" s="1412"/>
    </row>
    <row r="220" spans="1:5" ht="13.5" thickTop="1" x14ac:dyDescent="0.2">
      <c r="A220" s="1413" t="s">
        <v>228</v>
      </c>
      <c r="B220" s="1414">
        <v>13</v>
      </c>
      <c r="C220" s="1415" t="s">
        <v>24</v>
      </c>
      <c r="D220" s="1275">
        <v>40</v>
      </c>
      <c r="E220" s="969">
        <f>ROUND(B220*D220,2)</f>
        <v>520</v>
      </c>
    </row>
    <row r="221" spans="1:5" x14ac:dyDescent="0.2">
      <c r="A221" s="1416" t="s">
        <v>229</v>
      </c>
      <c r="B221" s="1417">
        <v>13</v>
      </c>
      <c r="C221" s="1418" t="s">
        <v>24</v>
      </c>
      <c r="D221" s="1279">
        <v>34.979999999999997</v>
      </c>
      <c r="E221" s="974">
        <f>ROUND(B221*D221,2)</f>
        <v>454.74</v>
      </c>
    </row>
    <row r="222" spans="1:5" x14ac:dyDescent="0.2">
      <c r="A222" s="1416" t="s">
        <v>230</v>
      </c>
      <c r="B222" s="1419">
        <v>8.6E-3</v>
      </c>
      <c r="C222" s="1418" t="s">
        <v>10</v>
      </c>
      <c r="D222" s="1279">
        <f>E92</f>
        <v>5137.7254000000003</v>
      </c>
      <c r="E222" s="974">
        <f>ROUND(B222*D222,2)</f>
        <v>44.18</v>
      </c>
    </row>
    <row r="223" spans="1:5" x14ac:dyDescent="0.2">
      <c r="A223" s="1416" t="s">
        <v>231</v>
      </c>
      <c r="B223" s="1417">
        <v>0.13</v>
      </c>
      <c r="C223" s="1418" t="s">
        <v>24</v>
      </c>
      <c r="D223" s="1279">
        <v>40</v>
      </c>
      <c r="E223" s="974">
        <f>ROUND(B223*D223,2)</f>
        <v>5.2</v>
      </c>
    </row>
    <row r="224" spans="1:5" ht="13.5" thickBot="1" x14ac:dyDescent="0.25">
      <c r="A224" s="1420"/>
      <c r="B224" s="1421"/>
      <c r="C224" s="1422"/>
      <c r="D224" s="1423" t="s">
        <v>140</v>
      </c>
      <c r="E224" s="1375">
        <f>ROUND(SUM(E220:E223),2)</f>
        <v>1024.1199999999999</v>
      </c>
    </row>
    <row r="225" spans="1:5" ht="13.5" thickTop="1" x14ac:dyDescent="0.2">
      <c r="A225" s="244"/>
      <c r="B225" s="245"/>
      <c r="C225" s="244"/>
      <c r="D225" s="241"/>
      <c r="E225" s="246"/>
    </row>
    <row r="226" spans="1:5" ht="13.5" thickBot="1" x14ac:dyDescent="0.25">
      <c r="A226" s="1353" t="s">
        <v>32</v>
      </c>
      <c r="B226" s="1354"/>
      <c r="C226" s="1355"/>
      <c r="D226" s="1356"/>
      <c r="E226" s="1357"/>
    </row>
    <row r="227" spans="1:5" ht="13.5" thickTop="1" x14ac:dyDescent="0.2">
      <c r="A227" s="1358" t="s">
        <v>232</v>
      </c>
      <c r="B227" s="1359">
        <v>0.2</v>
      </c>
      <c r="C227" s="1360" t="s">
        <v>16</v>
      </c>
      <c r="D227" s="1361">
        <f>E215</f>
        <v>880.51</v>
      </c>
      <c r="E227" s="969">
        <f>ROUND(B227*D227,2)</f>
        <v>176.1</v>
      </c>
    </row>
    <row r="228" spans="1:5" x14ac:dyDescent="0.2">
      <c r="A228" s="1362" t="s">
        <v>233</v>
      </c>
      <c r="B228" s="1363">
        <v>0.4</v>
      </c>
      <c r="C228" s="1364" t="s">
        <v>16</v>
      </c>
      <c r="D228" s="1365">
        <f>E107</f>
        <v>310.67</v>
      </c>
      <c r="E228" s="974">
        <f>ROUND(B228*D228,2)</f>
        <v>124.27</v>
      </c>
    </row>
    <row r="229" spans="1:5" x14ac:dyDescent="0.2">
      <c r="A229" s="1366" t="s">
        <v>27</v>
      </c>
      <c r="B229" s="1367">
        <v>2</v>
      </c>
      <c r="C229" s="1368" t="s">
        <v>8</v>
      </c>
      <c r="D229" s="1369">
        <f>E145</f>
        <v>86.54</v>
      </c>
      <c r="E229" s="974">
        <f>ROUND(B229*D229,2)</f>
        <v>173.08</v>
      </c>
    </row>
    <row r="230" spans="1:5" ht="13.5" thickBot="1" x14ac:dyDescent="0.25">
      <c r="A230" s="1370"/>
      <c r="B230" s="1371"/>
      <c r="C230" s="1372"/>
      <c r="D230" s="1373" t="s">
        <v>140</v>
      </c>
      <c r="E230" s="1374">
        <f>SUM(E227:E229)</f>
        <v>473.45000000000005</v>
      </c>
    </row>
    <row r="231" spans="1:5" ht="13.5" thickTop="1" x14ac:dyDescent="0.2">
      <c r="A231" s="244"/>
      <c r="B231" s="245"/>
      <c r="C231" s="244"/>
      <c r="D231" s="241"/>
      <c r="E231" s="246"/>
    </row>
    <row r="232" spans="1:5" x14ac:dyDescent="0.2">
      <c r="A232" s="1301" t="s">
        <v>22</v>
      </c>
      <c r="B232" s="1302"/>
      <c r="C232" s="1303"/>
      <c r="D232" s="1302"/>
      <c r="E232" s="1302"/>
    </row>
    <row r="233" spans="1:5" x14ac:dyDescent="0.2">
      <c r="A233" s="1304" t="s">
        <v>234</v>
      </c>
      <c r="B233" s="1305">
        <v>1</v>
      </c>
      <c r="C233" s="1303" t="s">
        <v>16</v>
      </c>
      <c r="D233" s="1305">
        <v>12</v>
      </c>
      <c r="E233" s="1306">
        <f>ROUND(B233*D233,2)</f>
        <v>12</v>
      </c>
    </row>
    <row r="234" spans="1:5" x14ac:dyDescent="0.2">
      <c r="A234" s="1304" t="s">
        <v>235</v>
      </c>
      <c r="B234" s="1307">
        <v>0.105</v>
      </c>
      <c r="C234" s="1303" t="s">
        <v>10</v>
      </c>
      <c r="D234" s="1305">
        <f>+E68</f>
        <v>4783.0078000000003</v>
      </c>
      <c r="E234" s="1306">
        <f>ROUND(B234*D234,2)</f>
        <v>502.22</v>
      </c>
    </row>
    <row r="235" spans="1:5" x14ac:dyDescent="0.2">
      <c r="A235" s="1304" t="s">
        <v>157</v>
      </c>
      <c r="B235" s="1308">
        <v>2.1999999999999999E-2</v>
      </c>
      <c r="C235" s="1303" t="s">
        <v>104</v>
      </c>
      <c r="D235" s="1305">
        <v>45</v>
      </c>
      <c r="E235" s="1306">
        <f>ROUND(B235*D235,2)</f>
        <v>0.99</v>
      </c>
    </row>
    <row r="236" spans="1:5" ht="25.5" x14ac:dyDescent="0.2">
      <c r="A236" s="1304" t="s">
        <v>236</v>
      </c>
      <c r="B236" s="1305">
        <v>1</v>
      </c>
      <c r="C236" s="1303" t="s">
        <v>16</v>
      </c>
      <c r="D236" s="1305">
        <v>174</v>
      </c>
      <c r="E236" s="1306">
        <f>ROUND(B236*D236,2)</f>
        <v>174</v>
      </c>
    </row>
    <row r="237" spans="1:5" x14ac:dyDescent="0.2">
      <c r="A237" s="1304" t="s">
        <v>237</v>
      </c>
      <c r="B237" s="1305">
        <f>1/0.8</f>
        <v>1.25</v>
      </c>
      <c r="C237" s="1303" t="s">
        <v>8</v>
      </c>
      <c r="D237" s="1305">
        <f>D248</f>
        <v>86.54</v>
      </c>
      <c r="E237" s="1306">
        <f>ROUND(B237*D237,2)</f>
        <v>108.18</v>
      </c>
    </row>
    <row r="238" spans="1:5" x14ac:dyDescent="0.2">
      <c r="A238" s="1304"/>
      <c r="B238" s="1302"/>
      <c r="C238" s="1303"/>
      <c r="D238" s="1309" t="s">
        <v>140</v>
      </c>
      <c r="E238" s="1310">
        <f>SUM(E233:E237)</f>
        <v>797.3900000000001</v>
      </c>
    </row>
    <row r="239" spans="1:5" x14ac:dyDescent="0.2">
      <c r="A239" s="1301" t="s">
        <v>22</v>
      </c>
      <c r="B239" s="1311"/>
      <c r="C239" s="1303"/>
      <c r="D239" s="1309"/>
      <c r="E239" s="1310">
        <f>(E238-E237)+(D237*(1/0.8))</f>
        <v>797.38499999999999</v>
      </c>
    </row>
    <row r="240" spans="1:5" x14ac:dyDescent="0.2">
      <c r="A240" s="1301" t="s">
        <v>238</v>
      </c>
      <c r="B240" s="1311"/>
      <c r="C240" s="1303"/>
      <c r="D240" s="1309"/>
      <c r="E240" s="1310">
        <f>+(E238-E237)+D237*( 1/0.6)</f>
        <v>833.44333333333338</v>
      </c>
    </row>
    <row r="241" spans="1:5" x14ac:dyDescent="0.2">
      <c r="A241" s="227"/>
      <c r="B241" s="247"/>
      <c r="C241" s="244"/>
      <c r="D241" s="241"/>
      <c r="E241" s="248"/>
    </row>
    <row r="242" spans="1:5" x14ac:dyDescent="0.2">
      <c r="A242" s="227"/>
      <c r="B242" s="247"/>
      <c r="C242" s="249"/>
      <c r="D242" s="250"/>
      <c r="E242" s="251"/>
    </row>
    <row r="243" spans="1:5" ht="13.5" thickBot="1" x14ac:dyDescent="0.25">
      <c r="A243" s="252" t="s">
        <v>239</v>
      </c>
      <c r="B243" s="244"/>
      <c r="C243" s="244"/>
      <c r="D243" s="253"/>
      <c r="E243" s="246"/>
    </row>
    <row r="244" spans="1:5" ht="13.5" thickTop="1" x14ac:dyDescent="0.2">
      <c r="A244" s="228" t="s">
        <v>240</v>
      </c>
      <c r="B244" s="229">
        <v>0.08</v>
      </c>
      <c r="C244" s="254" t="s">
        <v>10</v>
      </c>
      <c r="D244" s="255">
        <f>E192</f>
        <v>4079.4471000000003</v>
      </c>
      <c r="E244" s="116">
        <f t="shared" ref="E244:E249" si="3">ROUND(B244*D244,2)</f>
        <v>326.36</v>
      </c>
    </row>
    <row r="245" spans="1:5" x14ac:dyDescent="0.2">
      <c r="A245" s="256" t="s">
        <v>241</v>
      </c>
      <c r="B245" s="257">
        <v>2.1999999999999999E-2</v>
      </c>
      <c r="C245" s="233" t="s">
        <v>10</v>
      </c>
      <c r="D245" s="258">
        <f>E92</f>
        <v>5137.7254000000003</v>
      </c>
      <c r="E245" s="106">
        <f t="shared" si="3"/>
        <v>113.03</v>
      </c>
    </row>
    <row r="246" spans="1:5" x14ac:dyDescent="0.2">
      <c r="A246" s="231" t="s">
        <v>157</v>
      </c>
      <c r="B246" s="235">
        <v>8.7999999999999995E-2</v>
      </c>
      <c r="C246" s="259" t="s">
        <v>104</v>
      </c>
      <c r="D246" s="258">
        <v>45</v>
      </c>
      <c r="E246" s="106">
        <f t="shared" si="3"/>
        <v>3.96</v>
      </c>
    </row>
    <row r="247" spans="1:5" x14ac:dyDescent="0.2">
      <c r="A247" s="231" t="s">
        <v>242</v>
      </c>
      <c r="B247" s="232">
        <v>1</v>
      </c>
      <c r="C247" s="233" t="s">
        <v>16</v>
      </c>
      <c r="D247" s="258">
        <v>98.5</v>
      </c>
      <c r="E247" s="106">
        <f t="shared" si="3"/>
        <v>98.5</v>
      </c>
    </row>
    <row r="248" spans="1:5" x14ac:dyDescent="0.2">
      <c r="A248" s="231" t="s">
        <v>237</v>
      </c>
      <c r="B248" s="232">
        <v>0.8</v>
      </c>
      <c r="C248" s="233" t="s">
        <v>15</v>
      </c>
      <c r="D248" s="258">
        <f>E145</f>
        <v>86.54</v>
      </c>
      <c r="E248" s="106">
        <f t="shared" si="3"/>
        <v>69.23</v>
      </c>
    </row>
    <row r="249" spans="1:5" x14ac:dyDescent="0.2">
      <c r="A249" s="231" t="s">
        <v>243</v>
      </c>
      <c r="B249" s="235">
        <v>0.04</v>
      </c>
      <c r="C249" s="260" t="s">
        <v>137</v>
      </c>
      <c r="D249" s="258">
        <f>E6</f>
        <v>310</v>
      </c>
      <c r="E249" s="106">
        <f t="shared" si="3"/>
        <v>12.4</v>
      </c>
    </row>
    <row r="250" spans="1:5" ht="13.5" thickBot="1" x14ac:dyDescent="0.25">
      <c r="A250" s="237"/>
      <c r="B250" s="238"/>
      <c r="C250" s="238"/>
      <c r="D250" s="243" t="s">
        <v>140</v>
      </c>
      <c r="E250" s="239">
        <f>ROUND(SUM(E244:E249),2)</f>
        <v>623.48</v>
      </c>
    </row>
    <row r="251" spans="1:5" ht="14.25" thickTop="1" thickBot="1" x14ac:dyDescent="0.25">
      <c r="A251" s="261" t="s">
        <v>244</v>
      </c>
      <c r="B251" s="262">
        <v>0.45</v>
      </c>
      <c r="C251" s="263" t="s">
        <v>245</v>
      </c>
      <c r="D251" s="264">
        <v>37.22</v>
      </c>
      <c r="E251" s="1352">
        <f>(B251*D251)+E250</f>
        <v>640.22900000000004</v>
      </c>
    </row>
    <row r="252" spans="1:5" ht="14.25" thickTop="1" thickBot="1" x14ac:dyDescent="0.25">
      <c r="A252" s="261" t="s">
        <v>246</v>
      </c>
      <c r="B252" s="262"/>
      <c r="C252" s="262"/>
      <c r="D252" s="265"/>
      <c r="E252" s="266">
        <f>E250-E249</f>
        <v>611.08000000000004</v>
      </c>
    </row>
    <row r="253" spans="1:5" ht="13.5" thickTop="1" x14ac:dyDescent="0.2">
      <c r="A253" s="244"/>
      <c r="B253" s="244"/>
      <c r="C253" s="244"/>
      <c r="D253" s="241"/>
      <c r="E253" s="248"/>
    </row>
    <row r="254" spans="1:5" ht="15" x14ac:dyDescent="0.2">
      <c r="A254" s="267" t="s">
        <v>247</v>
      </c>
      <c r="B254" s="268"/>
      <c r="C254" s="268"/>
      <c r="D254" s="268"/>
      <c r="E254" s="268"/>
    </row>
    <row r="255" spans="1:5" ht="13.5" thickBot="1" x14ac:dyDescent="0.25">
      <c r="A255" s="269" t="s">
        <v>248</v>
      </c>
      <c r="B255" s="270"/>
      <c r="C255" s="270"/>
      <c r="D255" s="270"/>
      <c r="E255" s="271"/>
    </row>
    <row r="256" spans="1:5" ht="13.5" thickTop="1" x14ac:dyDescent="0.2">
      <c r="A256" s="965" t="s">
        <v>804</v>
      </c>
      <c r="B256" s="273">
        <v>1.05</v>
      </c>
      <c r="C256" s="274" t="s">
        <v>10</v>
      </c>
      <c r="D256" s="275">
        <f>E58</f>
        <v>5402.0865999999996</v>
      </c>
      <c r="E256" s="116">
        <f>ROUND(B256*D256,2)</f>
        <v>5672.19</v>
      </c>
    </row>
    <row r="257" spans="1:5" x14ac:dyDescent="0.2">
      <c r="A257" s="276" t="s">
        <v>249</v>
      </c>
      <c r="B257" s="277">
        <v>1.1299999999999999</v>
      </c>
      <c r="C257" s="278" t="s">
        <v>122</v>
      </c>
      <c r="D257" s="279">
        <f>E175</f>
        <v>2358.2800000000002</v>
      </c>
      <c r="E257" s="106">
        <f>ROUND(B257*D257,2)</f>
        <v>2664.86</v>
      </c>
    </row>
    <row r="258" spans="1:5" x14ac:dyDescent="0.2">
      <c r="A258" s="280" t="s">
        <v>159</v>
      </c>
      <c r="B258" s="281">
        <v>11.11</v>
      </c>
      <c r="C258" s="282" t="s">
        <v>8</v>
      </c>
      <c r="D258" s="283">
        <v>82.28</v>
      </c>
      <c r="E258" s="106">
        <f>ROUND(B258*D258,2)</f>
        <v>914.13</v>
      </c>
    </row>
    <row r="259" spans="1:5" ht="13.5" thickBot="1" x14ac:dyDescent="0.25">
      <c r="A259" s="284"/>
      <c r="B259" s="285"/>
      <c r="C259" s="285"/>
      <c r="D259" s="286"/>
      <c r="E259" s="287">
        <f>SUM(E256:E258)</f>
        <v>9251.1799999999985</v>
      </c>
    </row>
    <row r="260" spans="1:5" ht="14.25" thickTop="1" thickBot="1" x14ac:dyDescent="0.25">
      <c r="A260" s="288"/>
      <c r="B260" s="288"/>
      <c r="C260" s="288"/>
      <c r="D260" s="288"/>
      <c r="E260" s="289"/>
    </row>
    <row r="261" spans="1:5" ht="14.25" thickTop="1" thickBot="1" x14ac:dyDescent="0.25">
      <c r="A261" s="290" t="s">
        <v>7</v>
      </c>
      <c r="B261" s="291">
        <v>12</v>
      </c>
      <c r="C261" s="195" t="s">
        <v>8</v>
      </c>
      <c r="D261" s="292">
        <v>60</v>
      </c>
      <c r="E261" s="116">
        <f>+B261*D261</f>
        <v>720</v>
      </c>
    </row>
    <row r="262" spans="1:5" ht="14.25" thickTop="1" thickBot="1" x14ac:dyDescent="0.25">
      <c r="A262" s="293" t="s">
        <v>250</v>
      </c>
      <c r="B262" s="294">
        <v>2.7</v>
      </c>
      <c r="C262" s="295" t="s">
        <v>10</v>
      </c>
      <c r="D262" s="296">
        <v>240.23</v>
      </c>
      <c r="E262" s="116">
        <f t="shared" ref="E262:E266" si="4">+B262*D262</f>
        <v>648.62099999999998</v>
      </c>
    </row>
    <row r="263" spans="1:5" ht="14.25" thickTop="1" thickBot="1" x14ac:dyDescent="0.25">
      <c r="A263" s="297" t="s">
        <v>93</v>
      </c>
      <c r="B263" s="298">
        <v>0.86</v>
      </c>
      <c r="C263" s="295" t="s">
        <v>10</v>
      </c>
      <c r="D263" s="296">
        <v>70.16</v>
      </c>
      <c r="E263" s="116">
        <f t="shared" si="4"/>
        <v>60.337599999999995</v>
      </c>
    </row>
    <row r="264" spans="1:5" ht="14.25" thickTop="1" thickBot="1" x14ac:dyDescent="0.25">
      <c r="A264" s="297" t="s">
        <v>101</v>
      </c>
      <c r="B264" s="299">
        <v>2.21</v>
      </c>
      <c r="C264" s="295" t="s">
        <v>10</v>
      </c>
      <c r="D264" s="296">
        <v>90</v>
      </c>
      <c r="E264" s="116">
        <f t="shared" si="4"/>
        <v>198.9</v>
      </c>
    </row>
    <row r="265" spans="1:5" ht="14.25" thickTop="1" thickBot="1" x14ac:dyDescent="0.25">
      <c r="A265" s="297" t="s">
        <v>251</v>
      </c>
      <c r="B265" s="299">
        <v>1.35</v>
      </c>
      <c r="C265" s="295" t="s">
        <v>10</v>
      </c>
      <c r="D265" s="1376">
        <f>+E259</f>
        <v>9251.1799999999985</v>
      </c>
      <c r="E265" s="116">
        <f t="shared" si="4"/>
        <v>12489.092999999999</v>
      </c>
    </row>
    <row r="266" spans="1:5" ht="13.5" thickTop="1" x14ac:dyDescent="0.2">
      <c r="A266" s="297" t="s">
        <v>252</v>
      </c>
      <c r="B266" s="294">
        <v>7.2</v>
      </c>
      <c r="C266" s="295" t="s">
        <v>16</v>
      </c>
      <c r="D266" s="300">
        <f>E215</f>
        <v>880.51</v>
      </c>
      <c r="E266" s="116">
        <f t="shared" si="4"/>
        <v>6339.6720000000005</v>
      </c>
    </row>
    <row r="267" spans="1:5" x14ac:dyDescent="0.2">
      <c r="A267" s="297" t="s">
        <v>253</v>
      </c>
      <c r="B267" s="294">
        <v>12</v>
      </c>
      <c r="C267" s="295" t="s">
        <v>15</v>
      </c>
      <c r="D267" s="300">
        <f>(E92*0.09)/12</f>
        <v>38.532940500000002</v>
      </c>
      <c r="E267" s="106">
        <f t="shared" ref="E267:E281" si="5">ROUND(B267*D267,2)</f>
        <v>462.4</v>
      </c>
    </row>
    <row r="268" spans="1:5" x14ac:dyDescent="0.2">
      <c r="A268" s="293" t="s">
        <v>254</v>
      </c>
      <c r="B268" s="294">
        <v>4</v>
      </c>
      <c r="C268" s="295" t="s">
        <v>24</v>
      </c>
      <c r="D268" s="300">
        <v>684.4</v>
      </c>
      <c r="E268" s="106">
        <f t="shared" si="5"/>
        <v>2737.6</v>
      </c>
    </row>
    <row r="269" spans="1:5" x14ac:dyDescent="0.2">
      <c r="A269" s="297" t="s">
        <v>255</v>
      </c>
      <c r="B269" s="294">
        <v>2</v>
      </c>
      <c r="C269" s="295" t="s">
        <v>24</v>
      </c>
      <c r="D269" s="300">
        <v>803</v>
      </c>
      <c r="E269" s="106">
        <f t="shared" si="5"/>
        <v>1606</v>
      </c>
    </row>
    <row r="270" spans="1:5" x14ac:dyDescent="0.2">
      <c r="A270" s="293" t="s">
        <v>256</v>
      </c>
      <c r="B270" s="294">
        <v>21.6</v>
      </c>
      <c r="C270" s="295" t="s">
        <v>16</v>
      </c>
      <c r="D270" s="300">
        <v>348.34</v>
      </c>
      <c r="E270" s="106">
        <f t="shared" si="5"/>
        <v>7524.14</v>
      </c>
    </row>
    <row r="271" spans="1:5" x14ac:dyDescent="0.2">
      <c r="A271" s="297" t="s">
        <v>257</v>
      </c>
      <c r="B271" s="294">
        <v>2</v>
      </c>
      <c r="C271" s="295" t="s">
        <v>24</v>
      </c>
      <c r="D271" s="300">
        <v>45</v>
      </c>
      <c r="E271" s="106">
        <f t="shared" si="5"/>
        <v>90</v>
      </c>
    </row>
    <row r="272" spans="1:5" x14ac:dyDescent="0.2">
      <c r="A272" s="297" t="s">
        <v>258</v>
      </c>
      <c r="B272" s="294">
        <v>3</v>
      </c>
      <c r="C272" s="295" t="s">
        <v>24</v>
      </c>
      <c r="D272" s="300">
        <v>60.18</v>
      </c>
      <c r="E272" s="106">
        <f t="shared" si="5"/>
        <v>180.54</v>
      </c>
    </row>
    <row r="273" spans="1:5" x14ac:dyDescent="0.2">
      <c r="A273" s="293" t="s">
        <v>259</v>
      </c>
      <c r="B273" s="294">
        <v>4</v>
      </c>
      <c r="C273" s="295" t="s">
        <v>24</v>
      </c>
      <c r="D273" s="300">
        <v>123.9</v>
      </c>
      <c r="E273" s="106">
        <f t="shared" si="5"/>
        <v>495.6</v>
      </c>
    </row>
    <row r="274" spans="1:5" x14ac:dyDescent="0.2">
      <c r="A274" s="297" t="s">
        <v>260</v>
      </c>
      <c r="B274" s="294">
        <v>72</v>
      </c>
      <c r="C274" s="295" t="s">
        <v>15</v>
      </c>
      <c r="D274" s="296">
        <v>10.86</v>
      </c>
      <c r="E274" s="106">
        <f t="shared" si="5"/>
        <v>781.92</v>
      </c>
    </row>
    <row r="275" spans="1:5" x14ac:dyDescent="0.2">
      <c r="A275" s="293" t="s">
        <v>261</v>
      </c>
      <c r="B275" s="294">
        <v>1</v>
      </c>
      <c r="C275" s="295" t="s">
        <v>202</v>
      </c>
      <c r="D275" s="300">
        <v>36</v>
      </c>
      <c r="E275" s="106">
        <f t="shared" si="5"/>
        <v>36</v>
      </c>
    </row>
    <row r="276" spans="1:5" x14ac:dyDescent="0.2">
      <c r="A276" s="297" t="s">
        <v>262</v>
      </c>
      <c r="B276" s="294">
        <v>10.08</v>
      </c>
      <c r="C276" s="295" t="s">
        <v>16</v>
      </c>
      <c r="D276" s="300">
        <f>E107</f>
        <v>310.67</v>
      </c>
      <c r="E276" s="106">
        <f t="shared" si="5"/>
        <v>3131.55</v>
      </c>
    </row>
    <row r="277" spans="1:5" ht="38.25" x14ac:dyDescent="0.2">
      <c r="A277" s="301" t="s">
        <v>263</v>
      </c>
      <c r="B277" s="294">
        <v>34.200000000000003</v>
      </c>
      <c r="C277" s="295" t="s">
        <v>16</v>
      </c>
      <c r="D277" s="300">
        <v>130.5</v>
      </c>
      <c r="E277" s="106">
        <f t="shared" si="5"/>
        <v>4463.1000000000004</v>
      </c>
    </row>
    <row r="278" spans="1:5" x14ac:dyDescent="0.2">
      <c r="A278" s="297" t="s">
        <v>264</v>
      </c>
      <c r="B278" s="294">
        <v>2</v>
      </c>
      <c r="C278" s="295" t="s">
        <v>24</v>
      </c>
      <c r="D278" s="300">
        <v>283</v>
      </c>
      <c r="E278" s="106">
        <f t="shared" si="5"/>
        <v>566</v>
      </c>
    </row>
    <row r="279" spans="1:5" x14ac:dyDescent="0.2">
      <c r="A279" s="297" t="s">
        <v>265</v>
      </c>
      <c r="B279" s="294">
        <v>6</v>
      </c>
      <c r="C279" s="295" t="s">
        <v>24</v>
      </c>
      <c r="D279" s="300">
        <v>35.4</v>
      </c>
      <c r="E279" s="106">
        <f t="shared" si="5"/>
        <v>212.4</v>
      </c>
    </row>
    <row r="280" spans="1:5" x14ac:dyDescent="0.2">
      <c r="A280" s="297" t="s">
        <v>159</v>
      </c>
      <c r="B280" s="294">
        <v>12</v>
      </c>
      <c r="C280" s="295" t="s">
        <v>15</v>
      </c>
      <c r="D280" s="300">
        <v>350</v>
      </c>
      <c r="E280" s="106">
        <f t="shared" si="5"/>
        <v>4200</v>
      </c>
    </row>
    <row r="281" spans="1:5" x14ac:dyDescent="0.2">
      <c r="A281" s="297" t="s">
        <v>266</v>
      </c>
      <c r="B281" s="294">
        <v>12.6</v>
      </c>
      <c r="C281" s="295" t="s">
        <v>16</v>
      </c>
      <c r="D281" s="300">
        <v>121.42</v>
      </c>
      <c r="E281" s="106">
        <f t="shared" si="5"/>
        <v>1529.89</v>
      </c>
    </row>
    <row r="282" spans="1:5" x14ac:dyDescent="0.2">
      <c r="A282" s="302" t="s">
        <v>267</v>
      </c>
      <c r="B282" s="303"/>
      <c r="C282" s="303"/>
      <c r="D282" s="304"/>
      <c r="E282" s="305">
        <f>SUM(E261:E281)</f>
        <v>48473.763599999998</v>
      </c>
    </row>
    <row r="283" spans="1:5" ht="13.5" thickBot="1" x14ac:dyDescent="0.25">
      <c r="A283" s="306" t="s">
        <v>268</v>
      </c>
      <c r="B283" s="307"/>
      <c r="C283" s="308"/>
      <c r="D283" s="309" t="s">
        <v>269</v>
      </c>
      <c r="E283" s="310">
        <f>ROUND(E282/12,2)</f>
        <v>4039.48</v>
      </c>
    </row>
    <row r="284" spans="1:5" ht="13.5" thickTop="1" x14ac:dyDescent="0.2">
      <c r="A284" s="311" t="s">
        <v>664</v>
      </c>
      <c r="B284" s="312">
        <v>3</v>
      </c>
      <c r="C284" s="313" t="s">
        <v>24</v>
      </c>
      <c r="D284" s="312">
        <f>E310</f>
        <v>414.15</v>
      </c>
      <c r="E284" s="314">
        <f>ROUND(B284*D284,2)</f>
        <v>1242.45</v>
      </c>
    </row>
    <row r="285" spans="1:5" x14ac:dyDescent="0.2">
      <c r="A285" s="315" t="s">
        <v>270</v>
      </c>
      <c r="B285" s="316"/>
      <c r="C285" s="317"/>
      <c r="D285" s="316"/>
      <c r="E285" s="318">
        <f>E282+E284</f>
        <v>49716.213599999995</v>
      </c>
    </row>
    <row r="286" spans="1:5" ht="13.5" thickBot="1" x14ac:dyDescent="0.25">
      <c r="A286" s="306" t="s">
        <v>271</v>
      </c>
      <c r="B286" s="319"/>
      <c r="C286" s="320"/>
      <c r="D286" s="319"/>
      <c r="E286" s="321">
        <f>ROUND(E285/12,2)</f>
        <v>4143.0200000000004</v>
      </c>
    </row>
    <row r="287" spans="1:5" ht="13.5" thickTop="1" x14ac:dyDescent="0.2">
      <c r="A287" s="322"/>
      <c r="B287" s="323"/>
      <c r="C287" s="322"/>
      <c r="D287" s="323"/>
      <c r="E287" s="323"/>
    </row>
    <row r="288" spans="1:5" ht="13.5" thickBot="1" x14ac:dyDescent="0.25">
      <c r="A288" s="1271" t="s">
        <v>272</v>
      </c>
      <c r="B288" s="1329"/>
      <c r="C288" s="1328"/>
      <c r="D288" s="1329"/>
      <c r="E288" s="1329"/>
    </row>
    <row r="289" spans="1:5" ht="13.5" thickTop="1" x14ac:dyDescent="0.2">
      <c r="A289" s="965" t="s">
        <v>804</v>
      </c>
      <c r="B289" s="966">
        <v>1.05</v>
      </c>
      <c r="C289" s="967" t="s">
        <v>10</v>
      </c>
      <c r="D289" s="968">
        <f>D256</f>
        <v>5402.0865999999996</v>
      </c>
      <c r="E289" s="969">
        <f>ROUND(B289*D289,2)</f>
        <v>5672.19</v>
      </c>
    </row>
    <row r="290" spans="1:5" x14ac:dyDescent="0.2">
      <c r="A290" s="970" t="s">
        <v>249</v>
      </c>
      <c r="B290" s="971">
        <v>1.1399999999999999</v>
      </c>
      <c r="C290" s="972" t="s">
        <v>122</v>
      </c>
      <c r="D290" s="973">
        <f>E181</f>
        <v>2522.86</v>
      </c>
      <c r="E290" s="974">
        <f>ROUND(B290*D290,2)</f>
        <v>2876.06</v>
      </c>
    </row>
    <row r="291" spans="1:5" ht="13.5" thickBot="1" x14ac:dyDescent="0.25">
      <c r="A291" s="979"/>
      <c r="B291" s="980"/>
      <c r="C291" s="980"/>
      <c r="D291" s="981" t="s">
        <v>273</v>
      </c>
      <c r="E291" s="982">
        <f>SUM(E289:E290)</f>
        <v>8548.25</v>
      </c>
    </row>
    <row r="292" spans="1:5" ht="13.5" thickTop="1" x14ac:dyDescent="0.2">
      <c r="A292" s="322"/>
      <c r="B292" s="323"/>
      <c r="C292" s="322"/>
      <c r="D292" s="323"/>
      <c r="E292" s="323"/>
    </row>
    <row r="293" spans="1:5" ht="13.5" thickBot="1" x14ac:dyDescent="0.25">
      <c r="A293" s="983" t="s">
        <v>274</v>
      </c>
      <c r="B293" s="963"/>
      <c r="C293" s="963"/>
      <c r="D293" s="963"/>
      <c r="E293" s="964"/>
    </row>
    <row r="294" spans="1:5" ht="13.5" thickTop="1" x14ac:dyDescent="0.2">
      <c r="A294" s="965" t="s">
        <v>275</v>
      </c>
      <c r="B294" s="966">
        <v>1.05</v>
      </c>
      <c r="C294" s="967" t="s">
        <v>10</v>
      </c>
      <c r="D294" s="968">
        <f>E58</f>
        <v>5402.0865999999996</v>
      </c>
      <c r="E294" s="969">
        <f>ROUND(B294*D294,2)</f>
        <v>5672.19</v>
      </c>
    </row>
    <row r="295" spans="1:5" x14ac:dyDescent="0.2">
      <c r="A295" s="970" t="s">
        <v>249</v>
      </c>
      <c r="B295" s="971">
        <v>3.63</v>
      </c>
      <c r="C295" s="972" t="s">
        <v>122</v>
      </c>
      <c r="D295" s="973">
        <f>E181</f>
        <v>2522.86</v>
      </c>
      <c r="E295" s="974">
        <f>ROUND(B295*D295,2)</f>
        <v>9157.98</v>
      </c>
    </row>
    <row r="296" spans="1:5" x14ac:dyDescent="0.2">
      <c r="A296" s="975" t="s">
        <v>276</v>
      </c>
      <c r="B296" s="976">
        <v>16</v>
      </c>
      <c r="C296" s="977" t="s">
        <v>8</v>
      </c>
      <c r="D296" s="978">
        <v>325</v>
      </c>
      <c r="E296" s="974">
        <f>ROUND(B296*D296,2)</f>
        <v>5200</v>
      </c>
    </row>
    <row r="297" spans="1:5" ht="13.5" thickBot="1" x14ac:dyDescent="0.25">
      <c r="A297" s="979"/>
      <c r="B297" s="980"/>
      <c r="C297" s="980"/>
      <c r="D297" s="981" t="s">
        <v>273</v>
      </c>
      <c r="E297" s="982">
        <f>SUM(E294:E296)</f>
        <v>20030.169999999998</v>
      </c>
    </row>
    <row r="298" spans="1:5" ht="13.5" thickTop="1" x14ac:dyDescent="0.2">
      <c r="A298" s="1340" t="s">
        <v>277</v>
      </c>
      <c r="B298" s="1341">
        <v>0.17499999999999999</v>
      </c>
      <c r="C298" s="1342" t="s">
        <v>10</v>
      </c>
      <c r="D298" s="1341">
        <f>E297</f>
        <v>20030.169999999998</v>
      </c>
      <c r="E298" s="1343">
        <f>ROUND(B298*D298,2)</f>
        <v>3505.28</v>
      </c>
    </row>
    <row r="299" spans="1:5" x14ac:dyDescent="0.2">
      <c r="A299" s="1344" t="s">
        <v>233</v>
      </c>
      <c r="B299" s="1345">
        <v>2.2000000000000002</v>
      </c>
      <c r="C299" s="1346" t="s">
        <v>16</v>
      </c>
      <c r="D299" s="1345">
        <f>E107</f>
        <v>310.67</v>
      </c>
      <c r="E299" s="974">
        <f>ROUND(B299*D299,2)</f>
        <v>683.47</v>
      </c>
    </row>
    <row r="300" spans="1:5" x14ac:dyDescent="0.2">
      <c r="A300" s="1344" t="s">
        <v>27</v>
      </c>
      <c r="B300" s="1345">
        <v>12.2</v>
      </c>
      <c r="C300" s="1346" t="s">
        <v>8</v>
      </c>
      <c r="D300" s="1345">
        <f>E145</f>
        <v>86.54</v>
      </c>
      <c r="E300" s="974">
        <f>ROUND(B300*D300,2)</f>
        <v>1055.79</v>
      </c>
    </row>
    <row r="301" spans="1:5" x14ac:dyDescent="0.2">
      <c r="A301" s="1344" t="s">
        <v>30</v>
      </c>
      <c r="B301" s="1345">
        <v>2.2000000000000002</v>
      </c>
      <c r="C301" s="1346" t="s">
        <v>16</v>
      </c>
      <c r="D301" s="1345">
        <f>E323</f>
        <v>121.42</v>
      </c>
      <c r="E301" s="974">
        <f>ROUND(B301*D301,2)</f>
        <v>267.12</v>
      </c>
    </row>
    <row r="302" spans="1:5" x14ac:dyDescent="0.2">
      <c r="A302" s="1344" t="s">
        <v>278</v>
      </c>
      <c r="B302" s="1345">
        <f>(0.75*0.75*0.25)</f>
        <v>0.140625</v>
      </c>
      <c r="C302" s="1346" t="s">
        <v>10</v>
      </c>
      <c r="D302" s="1345">
        <f>E291</f>
        <v>8548.25</v>
      </c>
      <c r="E302" s="974">
        <f>ROUND(B302*D302,2)</f>
        <v>1202.0999999999999</v>
      </c>
    </row>
    <row r="303" spans="1:5" ht="13.5" thickBot="1" x14ac:dyDescent="0.25">
      <c r="A303" s="1347" t="s">
        <v>279</v>
      </c>
      <c r="B303" s="1348"/>
      <c r="C303" s="1349"/>
      <c r="D303" s="981" t="s">
        <v>280</v>
      </c>
      <c r="E303" s="1339">
        <f>SUM(E298:E302)</f>
        <v>6713.76</v>
      </c>
    </row>
    <row r="304" spans="1:5" ht="13.5" thickTop="1" x14ac:dyDescent="0.2">
      <c r="A304" s="328"/>
      <c r="B304" s="329"/>
      <c r="C304" s="328"/>
      <c r="D304" s="329"/>
      <c r="E304" s="329"/>
    </row>
    <row r="305" spans="1:5" ht="13.5" thickBot="1" x14ac:dyDescent="0.25">
      <c r="A305" s="1296" t="s">
        <v>805</v>
      </c>
      <c r="B305" s="1190"/>
      <c r="C305" s="1191"/>
      <c r="D305" s="1190"/>
      <c r="E305" s="1190"/>
    </row>
    <row r="306" spans="1:5" ht="13.5" thickTop="1" x14ac:dyDescent="0.2">
      <c r="A306" s="1274" t="s">
        <v>804</v>
      </c>
      <c r="B306" s="1377">
        <v>1.05</v>
      </c>
      <c r="C306" s="1378" t="s">
        <v>10</v>
      </c>
      <c r="D306" s="1377">
        <f>D294</f>
        <v>5402.0865999999996</v>
      </c>
      <c r="E306" s="969">
        <f>ROUND(B306*D306,2)</f>
        <v>5672.19</v>
      </c>
    </row>
    <row r="307" spans="1:5" x14ac:dyDescent="0.2">
      <c r="A307" s="1278" t="s">
        <v>249</v>
      </c>
      <c r="B307" s="1379">
        <v>8.15</v>
      </c>
      <c r="C307" s="1380" t="s">
        <v>122</v>
      </c>
      <c r="D307" s="1379">
        <f>E181</f>
        <v>2522.86</v>
      </c>
      <c r="E307" s="974">
        <f>ROUND(B307*D307,2)</f>
        <v>20561.310000000001</v>
      </c>
    </row>
    <row r="308" spans="1:5" x14ac:dyDescent="0.2">
      <c r="A308" s="1278" t="s">
        <v>281</v>
      </c>
      <c r="B308" s="1379">
        <v>44.44</v>
      </c>
      <c r="C308" s="1380" t="s">
        <v>15</v>
      </c>
      <c r="D308" s="1379">
        <v>100</v>
      </c>
      <c r="E308" s="974">
        <f>ROUND(B308*D308,2)</f>
        <v>4444</v>
      </c>
    </row>
    <row r="309" spans="1:5" ht="13.5" thickBot="1" x14ac:dyDescent="0.25">
      <c r="A309" s="1282"/>
      <c r="B309" s="1381"/>
      <c r="C309" s="1382"/>
      <c r="D309" s="1383"/>
      <c r="E309" s="1384">
        <f>SUM(E306:E308)</f>
        <v>30677.5</v>
      </c>
    </row>
    <row r="310" spans="1:5" ht="13.5" thickTop="1" x14ac:dyDescent="0.2">
      <c r="A310" s="1385" t="s">
        <v>282</v>
      </c>
      <c r="B310" s="1386">
        <f>0.15*0.15*0.6</f>
        <v>1.35E-2</v>
      </c>
      <c r="C310" s="1387" t="s">
        <v>10</v>
      </c>
      <c r="D310" s="1388">
        <f>E309</f>
        <v>30677.5</v>
      </c>
      <c r="E310" s="1389">
        <f>ROUND(B310*D310,2)</f>
        <v>414.15</v>
      </c>
    </row>
    <row r="311" spans="1:5" x14ac:dyDescent="0.2">
      <c r="A311" s="322"/>
      <c r="B311" s="323"/>
      <c r="C311" s="322"/>
      <c r="D311" s="323"/>
      <c r="E311" s="323"/>
    </row>
    <row r="312" spans="1:5" x14ac:dyDescent="0.2">
      <c r="A312" s="322"/>
      <c r="B312" s="323"/>
      <c r="C312" s="322"/>
      <c r="D312" s="323"/>
      <c r="E312" s="323"/>
    </row>
    <row r="313" spans="1:5" ht="13.5" thickBot="1" x14ac:dyDescent="0.25">
      <c r="A313" s="1312" t="s">
        <v>283</v>
      </c>
      <c r="B313" s="1313"/>
      <c r="C313" s="1314"/>
      <c r="D313" s="1313"/>
      <c r="E313" s="1313"/>
    </row>
    <row r="314" spans="1:5" ht="13.5" thickTop="1" x14ac:dyDescent="0.2">
      <c r="A314" s="1315" t="s">
        <v>284</v>
      </c>
      <c r="B314" s="1316">
        <v>0.08</v>
      </c>
      <c r="C314" s="1317" t="s">
        <v>23</v>
      </c>
      <c r="D314" s="1318">
        <v>250</v>
      </c>
      <c r="E314" s="969">
        <f>ROUND(B314*D314,2)</f>
        <v>20</v>
      </c>
    </row>
    <row r="315" spans="1:5" x14ac:dyDescent="0.2">
      <c r="A315" s="1319" t="s">
        <v>285</v>
      </c>
      <c r="B315" s="1320">
        <v>1</v>
      </c>
      <c r="C315" s="1321" t="s">
        <v>16</v>
      </c>
      <c r="D315" s="1322">
        <v>54.26</v>
      </c>
      <c r="E315" s="974">
        <f>ROUND(B315*D315,2)</f>
        <v>54.26</v>
      </c>
    </row>
    <row r="316" spans="1:5" x14ac:dyDescent="0.2">
      <c r="A316" s="1319" t="s">
        <v>286</v>
      </c>
      <c r="B316" s="1320">
        <v>15</v>
      </c>
      <c r="C316" s="1323" t="s">
        <v>13</v>
      </c>
      <c r="D316" s="1322">
        <f>E314</f>
        <v>20</v>
      </c>
      <c r="E316" s="974">
        <f>ROUND(B316*D316,2)/100</f>
        <v>3</v>
      </c>
    </row>
    <row r="317" spans="1:5" ht="13.5" thickBot="1" x14ac:dyDescent="0.25">
      <c r="A317" s="1324"/>
      <c r="B317" s="1325"/>
      <c r="C317" s="1326"/>
      <c r="D317" s="981" t="s">
        <v>287</v>
      </c>
      <c r="E317" s="1327">
        <f>SUM(E314:E316)</f>
        <v>77.259999999999991</v>
      </c>
    </row>
    <row r="318" spans="1:5" x14ac:dyDescent="0.2">
      <c r="A318" s="1328"/>
      <c r="B318" s="1329"/>
      <c r="C318" s="1328"/>
      <c r="D318" s="1329"/>
      <c r="E318" s="1329"/>
    </row>
    <row r="319" spans="1:5" ht="13.5" thickBot="1" x14ac:dyDescent="0.25">
      <c r="A319" s="1312" t="s">
        <v>288</v>
      </c>
      <c r="B319" s="1313"/>
      <c r="C319" s="1314"/>
      <c r="D319" s="1313"/>
      <c r="E319" s="1313"/>
    </row>
    <row r="320" spans="1:5" ht="13.5" thickTop="1" x14ac:dyDescent="0.2">
      <c r="A320" s="1330" t="s">
        <v>289</v>
      </c>
      <c r="B320" s="1331">
        <v>0.08</v>
      </c>
      <c r="C320" s="1332" t="s">
        <v>23</v>
      </c>
      <c r="D320" s="1333">
        <v>730</v>
      </c>
      <c r="E320" s="969">
        <f>ROUND(B320*D320,2)</f>
        <v>58.4</v>
      </c>
    </row>
    <row r="321" spans="1:5" x14ac:dyDescent="0.2">
      <c r="A321" s="1334" t="s">
        <v>290</v>
      </c>
      <c r="B321" s="1320">
        <v>1</v>
      </c>
      <c r="C321" s="1321" t="s">
        <v>16</v>
      </c>
      <c r="D321" s="1322">
        <v>54.26</v>
      </c>
      <c r="E321" s="974">
        <f>ROUND(B321*D321,2)</f>
        <v>54.26</v>
      </c>
    </row>
    <row r="322" spans="1:5" x14ac:dyDescent="0.2">
      <c r="A322" s="1334" t="s">
        <v>291</v>
      </c>
      <c r="B322" s="1320">
        <v>15</v>
      </c>
      <c r="C322" s="1323" t="s">
        <v>13</v>
      </c>
      <c r="D322" s="1322">
        <f>E320</f>
        <v>58.4</v>
      </c>
      <c r="E322" s="974">
        <f>ROUND(B322*D322,2)/100</f>
        <v>8.76</v>
      </c>
    </row>
    <row r="323" spans="1:5" ht="13.5" thickBot="1" x14ac:dyDescent="0.25">
      <c r="A323" s="1335"/>
      <c r="B323" s="1336"/>
      <c r="C323" s="1337"/>
      <c r="D323" s="981" t="s">
        <v>287</v>
      </c>
      <c r="E323" s="1338">
        <f>SUM(E320:E322)</f>
        <v>121.42</v>
      </c>
    </row>
    <row r="324" spans="1:5" ht="13.5" thickTop="1" x14ac:dyDescent="0.2">
      <c r="A324" s="322"/>
      <c r="B324" s="323"/>
      <c r="C324" s="322"/>
      <c r="D324" s="323"/>
      <c r="E324" s="323"/>
    </row>
    <row r="325" spans="1:5" ht="15.75" x14ac:dyDescent="0.25">
      <c r="A325" s="1593" t="s">
        <v>35</v>
      </c>
      <c r="B325" s="1593"/>
      <c r="C325" s="1593"/>
      <c r="D325" s="1593"/>
      <c r="E325" s="1593"/>
    </row>
    <row r="326" spans="1:5" x14ac:dyDescent="0.2">
      <c r="A326" s="93"/>
      <c r="B326" s="94"/>
      <c r="C326" s="93"/>
      <c r="D326" s="94"/>
      <c r="E326" s="94"/>
    </row>
    <row r="327" spans="1:5" ht="13.5" thickBot="1" x14ac:dyDescent="0.25">
      <c r="A327" s="333" t="s">
        <v>292</v>
      </c>
      <c r="B327" s="334">
        <v>42.8</v>
      </c>
      <c r="C327" s="335" t="s">
        <v>8</v>
      </c>
      <c r="D327" s="329"/>
      <c r="E327" s="329"/>
    </row>
    <row r="328" spans="1:5" ht="13.5" thickTop="1" x14ac:dyDescent="0.2">
      <c r="A328" s="336" t="s">
        <v>293</v>
      </c>
      <c r="B328" s="325">
        <f>120/4</f>
        <v>30</v>
      </c>
      <c r="C328" s="337" t="s">
        <v>294</v>
      </c>
      <c r="D328" s="325">
        <v>45</v>
      </c>
      <c r="E328" s="116">
        <f t="shared" ref="E328:E334" si="6">ROUND(B328*D328,2)</f>
        <v>1350</v>
      </c>
    </row>
    <row r="329" spans="1:5" x14ac:dyDescent="0.2">
      <c r="A329" s="338" t="s">
        <v>295</v>
      </c>
      <c r="B329" s="326">
        <f>120*0.05</f>
        <v>6</v>
      </c>
      <c r="C329" s="327" t="s">
        <v>202</v>
      </c>
      <c r="D329" s="326">
        <v>32</v>
      </c>
      <c r="E329" s="106">
        <f t="shared" si="6"/>
        <v>192</v>
      </c>
    </row>
    <row r="330" spans="1:5" x14ac:dyDescent="0.2">
      <c r="A330" s="338" t="s">
        <v>296</v>
      </c>
      <c r="B330" s="326">
        <f>0.04*B327</f>
        <v>1.712</v>
      </c>
      <c r="C330" s="327" t="s">
        <v>116</v>
      </c>
      <c r="D330" s="326">
        <v>90</v>
      </c>
      <c r="E330" s="106">
        <f t="shared" si="6"/>
        <v>154.08000000000001</v>
      </c>
    </row>
    <row r="331" spans="1:5" x14ac:dyDescent="0.2">
      <c r="A331" s="338" t="s">
        <v>297</v>
      </c>
      <c r="B331" s="326">
        <f>0.005*B327</f>
        <v>0.214</v>
      </c>
      <c r="C331" s="327" t="s">
        <v>298</v>
      </c>
      <c r="D331" s="326">
        <v>106.29</v>
      </c>
      <c r="E331" s="106">
        <f t="shared" si="6"/>
        <v>22.75</v>
      </c>
    </row>
    <row r="332" spans="1:5" x14ac:dyDescent="0.2">
      <c r="A332" s="338" t="s">
        <v>299</v>
      </c>
      <c r="B332" s="326">
        <f>0.015*B327</f>
        <v>0.6419999999999999</v>
      </c>
      <c r="C332" s="327" t="s">
        <v>151</v>
      </c>
      <c r="D332" s="326">
        <v>900</v>
      </c>
      <c r="E332" s="106">
        <f t="shared" si="6"/>
        <v>577.79999999999995</v>
      </c>
    </row>
    <row r="333" spans="1:5" x14ac:dyDescent="0.2">
      <c r="A333" s="338" t="s">
        <v>300</v>
      </c>
      <c r="B333" s="326">
        <f>0.034*B327</f>
        <v>1.4552</v>
      </c>
      <c r="C333" s="327" t="s">
        <v>151</v>
      </c>
      <c r="D333" s="326">
        <v>780</v>
      </c>
      <c r="E333" s="106">
        <f t="shared" si="6"/>
        <v>1135.06</v>
      </c>
    </row>
    <row r="334" spans="1:5" x14ac:dyDescent="0.2">
      <c r="A334" s="338" t="s">
        <v>301</v>
      </c>
      <c r="B334" s="326">
        <f>0.015*B327</f>
        <v>0.6419999999999999</v>
      </c>
      <c r="C334" s="327" t="s">
        <v>151</v>
      </c>
      <c r="D334" s="326">
        <v>5075</v>
      </c>
      <c r="E334" s="106">
        <f t="shared" si="6"/>
        <v>3258.15</v>
      </c>
    </row>
    <row r="335" spans="1:5" x14ac:dyDescent="0.2">
      <c r="A335" s="338" t="s">
        <v>302</v>
      </c>
      <c r="B335" s="326">
        <v>3</v>
      </c>
      <c r="C335" s="327" t="s">
        <v>13</v>
      </c>
      <c r="D335" s="326">
        <f>SUM(E332,E333)</f>
        <v>1712.86</v>
      </c>
      <c r="E335" s="106">
        <f>ROUND(B335*D335,2)/100</f>
        <v>51.385799999999996</v>
      </c>
    </row>
    <row r="336" spans="1:5" ht="13.5" thickBot="1" x14ac:dyDescent="0.25">
      <c r="A336" s="339"/>
      <c r="B336" s="340"/>
      <c r="C336" s="341"/>
      <c r="D336" s="342" t="s">
        <v>303</v>
      </c>
      <c r="E336" s="343">
        <f>SUM(E328:E335)</f>
        <v>6741.2258000000002</v>
      </c>
    </row>
    <row r="337" spans="1:6" ht="14.25" thickTop="1" thickBot="1" x14ac:dyDescent="0.25">
      <c r="A337" s="344"/>
      <c r="B337" s="345"/>
      <c r="C337" s="346"/>
      <c r="D337" s="347" t="s">
        <v>269</v>
      </c>
      <c r="E337" s="348">
        <f>E336/B327</f>
        <v>157.50527570093459</v>
      </c>
    </row>
    <row r="338" spans="1:6" ht="14.25" thickTop="1" thickBot="1" x14ac:dyDescent="0.25">
      <c r="A338" s="349"/>
      <c r="B338" s="350"/>
      <c r="C338" s="351"/>
      <c r="D338" s="352" t="s">
        <v>304</v>
      </c>
      <c r="E338" s="353">
        <f>E336/114.49</f>
        <v>58.880476897545641</v>
      </c>
    </row>
    <row r="339" spans="1:6" ht="13.5" thickTop="1" x14ac:dyDescent="0.2">
      <c r="A339" s="861"/>
      <c r="B339" s="862"/>
      <c r="C339" s="861"/>
      <c r="D339" s="355"/>
      <c r="E339" s="863"/>
    </row>
    <row r="340" spans="1:6" ht="26.25" thickBot="1" x14ac:dyDescent="0.25">
      <c r="A340" s="1069" t="s">
        <v>691</v>
      </c>
      <c r="B340" s="1027"/>
      <c r="C340" s="1028"/>
      <c r="D340" s="1028"/>
      <c r="E340" s="1029"/>
    </row>
    <row r="341" spans="1:6" ht="13.5" thickTop="1" x14ac:dyDescent="0.2">
      <c r="A341" s="1030" t="s">
        <v>605</v>
      </c>
      <c r="B341" s="1031">
        <v>1.05</v>
      </c>
      <c r="C341" s="1032" t="s">
        <v>10</v>
      </c>
      <c r="D341" s="1033">
        <f>+E39</f>
        <v>6350.6866</v>
      </c>
      <c r="E341" s="1034">
        <f>ROUND(B341*D341,2)</f>
        <v>6668.22</v>
      </c>
    </row>
    <row r="342" spans="1:6" x14ac:dyDescent="0.2">
      <c r="A342" s="1035" t="s">
        <v>249</v>
      </c>
      <c r="B342" s="1036">
        <v>1.07</v>
      </c>
      <c r="C342" s="1037" t="s">
        <v>122</v>
      </c>
      <c r="D342" s="1038">
        <f>E181</f>
        <v>2522.86</v>
      </c>
      <c r="E342" s="1039">
        <f>ROUND(B342*D342,2)</f>
        <v>2699.46</v>
      </c>
    </row>
    <row r="343" spans="1:6" ht="13.5" thickBot="1" x14ac:dyDescent="0.25">
      <c r="A343" s="1044"/>
      <c r="B343" s="1045"/>
      <c r="C343" s="1045"/>
      <c r="D343" s="1046" t="s">
        <v>273</v>
      </c>
      <c r="E343" s="1047">
        <f>SUM(E341:E342)</f>
        <v>9367.68</v>
      </c>
    </row>
    <row r="344" spans="1:6" ht="14.25" thickTop="1" thickBot="1" x14ac:dyDescent="0.25">
      <c r="A344" s="1069" t="s">
        <v>692</v>
      </c>
      <c r="B344" s="1027"/>
      <c r="C344" s="1028"/>
      <c r="D344" s="1028"/>
      <c r="E344" s="1029"/>
    </row>
    <row r="345" spans="1:6" s="1024" customFormat="1" ht="13.5" thickTop="1" x14ac:dyDescent="0.2">
      <c r="A345" s="1030" t="s">
        <v>605</v>
      </c>
      <c r="B345" s="1031">
        <v>1.05</v>
      </c>
      <c r="C345" s="1032" t="s">
        <v>10</v>
      </c>
      <c r="D345" s="1033">
        <f>+D341</f>
        <v>6350.6866</v>
      </c>
      <c r="E345" s="1034">
        <f>ROUND(B345*D345,2)</f>
        <v>6668.22</v>
      </c>
      <c r="F345" s="1025"/>
    </row>
    <row r="346" spans="1:6" s="1024" customFormat="1" x14ac:dyDescent="0.2">
      <c r="A346" s="1035" t="s">
        <v>249</v>
      </c>
      <c r="B346" s="1036">
        <v>1.78</v>
      </c>
      <c r="C346" s="1037" t="s">
        <v>122</v>
      </c>
      <c r="D346" s="1038">
        <f>+D342</f>
        <v>2522.86</v>
      </c>
      <c r="E346" s="1039">
        <f>ROUND(B346*D346,2)</f>
        <v>4490.6899999999996</v>
      </c>
      <c r="F346" s="1025"/>
    </row>
    <row r="347" spans="1:6" s="1024" customFormat="1" ht="13.5" thickBot="1" x14ac:dyDescent="0.25">
      <c r="A347" s="1044"/>
      <c r="B347" s="1045"/>
      <c r="C347" s="1045"/>
      <c r="D347" s="1046" t="s">
        <v>273</v>
      </c>
      <c r="E347" s="1047">
        <f>SUM(E345:E346)</f>
        <v>11158.91</v>
      </c>
      <c r="F347" s="1025"/>
    </row>
    <row r="348" spans="1:6" s="1024" customFormat="1" ht="13.5" thickTop="1" x14ac:dyDescent="0.2">
      <c r="A348" s="322"/>
      <c r="B348" s="323"/>
      <c r="C348" s="322"/>
      <c r="D348" s="323"/>
      <c r="E348" s="323"/>
      <c r="F348" s="1025"/>
    </row>
    <row r="349" spans="1:6" ht="26.25" thickBot="1" x14ac:dyDescent="0.25">
      <c r="A349" s="1069" t="s">
        <v>693</v>
      </c>
      <c r="B349" s="1027"/>
      <c r="C349" s="1028"/>
      <c r="D349" s="1028"/>
      <c r="E349" s="1029"/>
    </row>
    <row r="350" spans="1:6" ht="13.5" thickTop="1" x14ac:dyDescent="0.2">
      <c r="A350" s="1030" t="s">
        <v>605</v>
      </c>
      <c r="B350" s="1031">
        <v>1.05</v>
      </c>
      <c r="C350" s="1032" t="s">
        <v>10</v>
      </c>
      <c r="D350" s="1033">
        <f>+D341</f>
        <v>6350.6866</v>
      </c>
      <c r="E350" s="1034">
        <f>ROUND(B350*D350,2)</f>
        <v>6668.22</v>
      </c>
    </row>
    <row r="351" spans="1:6" x14ac:dyDescent="0.2">
      <c r="A351" s="1035" t="s">
        <v>249</v>
      </c>
      <c r="B351" s="1036">
        <v>1.93</v>
      </c>
      <c r="C351" s="1037" t="s">
        <v>122</v>
      </c>
      <c r="D351" s="1038">
        <f>+D342</f>
        <v>2522.86</v>
      </c>
      <c r="E351" s="1039">
        <f>ROUND(B351*D351,2)</f>
        <v>4869.12</v>
      </c>
    </row>
    <row r="352" spans="1:6" ht="13.5" thickBot="1" x14ac:dyDescent="0.25">
      <c r="A352" s="1044"/>
      <c r="B352" s="1045"/>
      <c r="C352" s="1045"/>
      <c r="D352" s="1046" t="s">
        <v>273</v>
      </c>
      <c r="E352" s="1047">
        <f>SUM(E350:E351)</f>
        <v>11537.34</v>
      </c>
    </row>
    <row r="353" spans="1:8" ht="13.5" thickTop="1" x14ac:dyDescent="0.2">
      <c r="A353" s="354"/>
      <c r="B353" s="354"/>
      <c r="C353" s="354"/>
      <c r="D353" s="355"/>
      <c r="E353" s="356"/>
    </row>
    <row r="354" spans="1:8" s="957" customFormat="1" ht="13.5" thickBot="1" x14ac:dyDescent="0.25">
      <c r="A354" s="1050" t="s">
        <v>36</v>
      </c>
      <c r="B354" s="1051"/>
      <c r="C354" s="1052"/>
      <c r="D354" s="1052"/>
      <c r="E354" s="1053"/>
      <c r="F354" s="1025"/>
    </row>
    <row r="355" spans="1:8" s="957" customFormat="1" ht="13.5" thickTop="1" x14ac:dyDescent="0.2">
      <c r="A355" s="1054" t="s">
        <v>605</v>
      </c>
      <c r="B355" s="1055">
        <v>1.05</v>
      </c>
      <c r="C355" s="1056" t="s">
        <v>10</v>
      </c>
      <c r="D355" s="1057">
        <f>+D350</f>
        <v>6350.6866</v>
      </c>
      <c r="E355" s="1058">
        <f>ROUND(B355*D355,2)</f>
        <v>6668.22</v>
      </c>
      <c r="F355" s="1025"/>
    </row>
    <row r="356" spans="1:8" s="957" customFormat="1" x14ac:dyDescent="0.2">
      <c r="A356" s="1059" t="s">
        <v>249</v>
      </c>
      <c r="B356" s="1060">
        <v>1.01</v>
      </c>
      <c r="C356" s="1061" t="s">
        <v>122</v>
      </c>
      <c r="D356" s="1062">
        <f>+D351</f>
        <v>2522.86</v>
      </c>
      <c r="E356" s="1063">
        <f>ROUND(B356*D356,2)</f>
        <v>2548.09</v>
      </c>
      <c r="F356" s="1025"/>
    </row>
    <row r="357" spans="1:8" s="957" customFormat="1" ht="13.5" thickBot="1" x14ac:dyDescent="0.25">
      <c r="A357" s="1064"/>
      <c r="B357" s="1065"/>
      <c r="C357" s="1065"/>
      <c r="D357" s="1066" t="s">
        <v>273</v>
      </c>
      <c r="E357" s="1067">
        <f>SUM(E355:E356)</f>
        <v>9216.3100000000013</v>
      </c>
      <c r="F357" s="1025"/>
    </row>
    <row r="358" spans="1:8" s="957" customFormat="1" ht="13.5" thickTop="1" x14ac:dyDescent="0.2">
      <c r="A358" s="354"/>
      <c r="B358" s="354"/>
      <c r="C358" s="354"/>
      <c r="D358" s="355"/>
      <c r="E358" s="356"/>
      <c r="F358" s="1025"/>
    </row>
    <row r="359" spans="1:8" ht="26.25" thickBot="1" x14ac:dyDescent="0.25">
      <c r="A359" s="961" t="s">
        <v>694</v>
      </c>
      <c r="B359" s="1027">
        <f>0.35*0.35</f>
        <v>0.12249999999999998</v>
      </c>
      <c r="C359" s="1028"/>
      <c r="D359" s="1028"/>
      <c r="E359" s="1029"/>
      <c r="G359" s="69"/>
      <c r="H359" s="70">
        <v>26.4</v>
      </c>
    </row>
    <row r="360" spans="1:8" ht="13.5" thickTop="1" x14ac:dyDescent="0.2">
      <c r="A360" s="1030" t="s">
        <v>605</v>
      </c>
      <c r="B360" s="1031">
        <v>1.05</v>
      </c>
      <c r="C360" s="1032" t="s">
        <v>10</v>
      </c>
      <c r="D360" s="1033">
        <f>+D355</f>
        <v>6350.6866</v>
      </c>
      <c r="E360" s="1034">
        <f>ROUND(B360*D360,2)</f>
        <v>6668.22</v>
      </c>
      <c r="G360" s="69"/>
      <c r="H360" s="70">
        <v>35.549999999999997</v>
      </c>
    </row>
    <row r="361" spans="1:8" x14ac:dyDescent="0.2">
      <c r="A361" s="1035" t="s">
        <v>249</v>
      </c>
      <c r="B361" s="1036">
        <v>5.39</v>
      </c>
      <c r="C361" s="1037" t="s">
        <v>122</v>
      </c>
      <c r="D361" s="1038">
        <f>+D356</f>
        <v>2522.86</v>
      </c>
      <c r="E361" s="1039">
        <f>ROUND(B361*D361,2)</f>
        <v>13598.22</v>
      </c>
      <c r="G361" s="4"/>
      <c r="H361" s="67">
        <v>2.71</v>
      </c>
    </row>
    <row r="362" spans="1:8" x14ac:dyDescent="0.2">
      <c r="A362" s="1040" t="s">
        <v>276</v>
      </c>
      <c r="B362" s="1041">
        <f>ROUND(1/B359,2)</f>
        <v>8.16</v>
      </c>
      <c r="C362" s="1042" t="s">
        <v>8</v>
      </c>
      <c r="D362" s="1043">
        <v>400</v>
      </c>
      <c r="E362" s="1039">
        <f>ROUND(B362*D362,2)</f>
        <v>3264</v>
      </c>
      <c r="G362" s="69"/>
      <c r="H362" s="70">
        <v>23.36</v>
      </c>
    </row>
    <row r="363" spans="1:8" ht="13.5" thickBot="1" x14ac:dyDescent="0.25">
      <c r="A363" s="1044"/>
      <c r="B363" s="1045"/>
      <c r="C363" s="1045"/>
      <c r="D363" s="1046" t="s">
        <v>273</v>
      </c>
      <c r="E363" s="1047">
        <f>SUM(E360:E362)</f>
        <v>23530.44</v>
      </c>
    </row>
    <row r="364" spans="1:8" ht="13.5" thickTop="1" x14ac:dyDescent="0.2">
      <c r="A364" s="1048"/>
      <c r="B364" s="1049"/>
      <c r="C364" s="1048"/>
      <c r="D364" s="1049"/>
      <c r="E364" s="1049"/>
    </row>
    <row r="365" spans="1:8" ht="13.5" thickBot="1" x14ac:dyDescent="0.25">
      <c r="A365" s="961" t="s">
        <v>689</v>
      </c>
      <c r="B365" s="962">
        <v>0.25</v>
      </c>
      <c r="C365" s="963"/>
      <c r="D365" s="963"/>
      <c r="E365" s="964"/>
    </row>
    <row r="366" spans="1:8" ht="13.5" thickTop="1" x14ac:dyDescent="0.2">
      <c r="A366" s="965" t="s">
        <v>605</v>
      </c>
      <c r="B366" s="966">
        <v>1.05</v>
      </c>
      <c r="C366" s="967" t="s">
        <v>10</v>
      </c>
      <c r="D366" s="968">
        <f>+D360</f>
        <v>6350.6866</v>
      </c>
      <c r="E366" s="969">
        <f>ROUND(B366*D366,2)</f>
        <v>6668.22</v>
      </c>
    </row>
    <row r="367" spans="1:8" x14ac:dyDescent="0.2">
      <c r="A367" s="970" t="s">
        <v>249</v>
      </c>
      <c r="B367" s="971">
        <v>3.05</v>
      </c>
      <c r="C367" s="972" t="s">
        <v>122</v>
      </c>
      <c r="D367" s="973">
        <f>+D361</f>
        <v>2522.86</v>
      </c>
      <c r="E367" s="974">
        <f>ROUND(B367*D367,2)</f>
        <v>7694.72</v>
      </c>
    </row>
    <row r="368" spans="1:8" x14ac:dyDescent="0.2">
      <c r="A368" s="975" t="s">
        <v>276</v>
      </c>
      <c r="B368" s="976">
        <f>ROUND(1/B365,2)</f>
        <v>4</v>
      </c>
      <c r="C368" s="977" t="s">
        <v>8</v>
      </c>
      <c r="D368" s="978">
        <v>900</v>
      </c>
      <c r="E368" s="974">
        <f>ROUND(B368*D368,2)</f>
        <v>3600</v>
      </c>
    </row>
    <row r="369" spans="1:6" ht="13.5" thickBot="1" x14ac:dyDescent="0.25">
      <c r="A369" s="979"/>
      <c r="B369" s="980"/>
      <c r="C369" s="980"/>
      <c r="D369" s="981" t="s">
        <v>273</v>
      </c>
      <c r="E369" s="982">
        <f>SUM(E366:E368)</f>
        <v>17962.940000000002</v>
      </c>
    </row>
    <row r="370" spans="1:6" ht="13.5" thickTop="1" x14ac:dyDescent="0.2">
      <c r="A370" s="322"/>
      <c r="B370" s="323"/>
      <c r="C370" s="322"/>
      <c r="D370" s="323"/>
      <c r="E370" s="323"/>
    </row>
    <row r="371" spans="1:6" x14ac:dyDescent="0.2">
      <c r="A371" s="322"/>
      <c r="B371" s="323"/>
      <c r="C371" s="322"/>
      <c r="D371" s="323"/>
      <c r="E371" s="323"/>
    </row>
    <row r="372" spans="1:6" s="957" customFormat="1" ht="13.5" thickBot="1" x14ac:dyDescent="0.25">
      <c r="A372" s="961" t="s">
        <v>690</v>
      </c>
      <c r="B372" s="1070">
        <f>1/(0.15)</f>
        <v>6.666666666666667</v>
      </c>
      <c r="C372" s="963"/>
      <c r="D372" s="963"/>
      <c r="E372" s="964"/>
      <c r="F372" s="1025"/>
    </row>
    <row r="373" spans="1:6" s="957" customFormat="1" ht="13.5" thickTop="1" x14ac:dyDescent="0.2">
      <c r="A373" s="965" t="s">
        <v>605</v>
      </c>
      <c r="B373" s="966">
        <v>1.05</v>
      </c>
      <c r="C373" s="967" t="s">
        <v>10</v>
      </c>
      <c r="D373" s="968">
        <f>+D366</f>
        <v>6350.6866</v>
      </c>
      <c r="E373" s="969">
        <f>ROUND(B373*D373,2)</f>
        <v>6668.22</v>
      </c>
      <c r="F373" s="1025"/>
    </row>
    <row r="374" spans="1:6" s="957" customFormat="1" x14ac:dyDescent="0.2">
      <c r="A374" s="970" t="s">
        <v>249</v>
      </c>
      <c r="B374" s="971">
        <v>1.23</v>
      </c>
      <c r="C374" s="972" t="s">
        <v>122</v>
      </c>
      <c r="D374" s="973">
        <f>+D367</f>
        <v>2522.86</v>
      </c>
      <c r="E374" s="974">
        <f>ROUND(B374*D374,2)</f>
        <v>3103.12</v>
      </c>
      <c r="F374" s="1025"/>
    </row>
    <row r="375" spans="1:6" s="957" customFormat="1" x14ac:dyDescent="0.2">
      <c r="A375" s="975" t="s">
        <v>276</v>
      </c>
      <c r="B375" s="976">
        <f>ROUND(1/B372,2)</f>
        <v>0.15</v>
      </c>
      <c r="C375" s="977" t="s">
        <v>8</v>
      </c>
      <c r="D375" s="978">
        <v>370</v>
      </c>
      <c r="E375" s="974">
        <f>ROUND(B375*D375,2)</f>
        <v>55.5</v>
      </c>
      <c r="F375" s="1025"/>
    </row>
    <row r="376" spans="1:6" s="957" customFormat="1" ht="13.5" thickBot="1" x14ac:dyDescent="0.25">
      <c r="A376" s="979"/>
      <c r="B376" s="980"/>
      <c r="C376" s="980"/>
      <c r="D376" s="981" t="s">
        <v>273</v>
      </c>
      <c r="E376" s="982">
        <f>SUM(E373:E375)</f>
        <v>9826.84</v>
      </c>
      <c r="F376" s="1025"/>
    </row>
    <row r="377" spans="1:6" s="957" customFormat="1" ht="13.5" thickTop="1" x14ac:dyDescent="0.2">
      <c r="A377" s="322"/>
      <c r="B377" s="323"/>
      <c r="C377" s="322"/>
      <c r="D377" s="323"/>
      <c r="E377" s="323"/>
      <c r="F377" s="1025"/>
    </row>
    <row r="378" spans="1:6" s="957" customFormat="1" ht="13.5" thickBot="1" x14ac:dyDescent="0.25">
      <c r="A378" s="1068" t="s">
        <v>695</v>
      </c>
      <c r="B378" s="962">
        <f>0.25*0.5</f>
        <v>0.125</v>
      </c>
      <c r="C378" s="963"/>
      <c r="D378" s="963"/>
      <c r="E378" s="964"/>
      <c r="F378" s="1025"/>
    </row>
    <row r="379" spans="1:6" s="957" customFormat="1" ht="13.5" thickTop="1" x14ac:dyDescent="0.2">
      <c r="A379" s="965" t="s">
        <v>605</v>
      </c>
      <c r="B379" s="966">
        <v>1.05</v>
      </c>
      <c r="C379" s="967" t="s">
        <v>10</v>
      </c>
      <c r="D379" s="968">
        <f>+D373</f>
        <v>6350.6866</v>
      </c>
      <c r="E379" s="969">
        <f>ROUND(B379*D379,2)</f>
        <v>6668.22</v>
      </c>
      <c r="F379" s="1025"/>
    </row>
    <row r="380" spans="1:6" s="957" customFormat="1" x14ac:dyDescent="0.2">
      <c r="A380" s="970" t="s">
        <v>249</v>
      </c>
      <c r="B380" s="971">
        <v>5.61</v>
      </c>
      <c r="C380" s="972" t="s">
        <v>122</v>
      </c>
      <c r="D380" s="973">
        <f>E193</f>
        <v>0</v>
      </c>
      <c r="E380" s="974">
        <f>ROUND(B380*D380,2)</f>
        <v>0</v>
      </c>
      <c r="F380" s="1025"/>
    </row>
    <row r="381" spans="1:6" s="957" customFormat="1" x14ac:dyDescent="0.2">
      <c r="A381" s="975" t="s">
        <v>276</v>
      </c>
      <c r="B381" s="976">
        <f>ROUND(1/B378,2)</f>
        <v>8</v>
      </c>
      <c r="C381" s="977" t="s">
        <v>8</v>
      </c>
      <c r="D381" s="978">
        <v>370</v>
      </c>
      <c r="E381" s="974">
        <f>ROUND(B381*D381,2)</f>
        <v>2960</v>
      </c>
      <c r="F381" s="1025"/>
    </row>
    <row r="382" spans="1:6" s="957" customFormat="1" ht="13.5" thickBot="1" x14ac:dyDescent="0.25">
      <c r="A382" s="979"/>
      <c r="B382" s="980"/>
      <c r="C382" s="980"/>
      <c r="D382" s="981" t="s">
        <v>273</v>
      </c>
      <c r="E382" s="982">
        <f>SUM(E379:E381)</f>
        <v>9628.2200000000012</v>
      </c>
      <c r="F382" s="1025"/>
    </row>
    <row r="383" spans="1:6" s="957" customFormat="1" ht="13.5" thickTop="1" x14ac:dyDescent="0.2">
      <c r="A383" s="322"/>
      <c r="B383" s="323"/>
      <c r="C383" s="322"/>
      <c r="D383" s="323"/>
      <c r="E383" s="323"/>
      <c r="F383" s="1025"/>
    </row>
    <row r="384" spans="1:6" x14ac:dyDescent="0.2">
      <c r="A384" s="354"/>
      <c r="B384" s="354"/>
      <c r="C384" s="354"/>
      <c r="D384" s="355"/>
      <c r="E384" s="356"/>
    </row>
    <row r="385" spans="1:6" x14ac:dyDescent="0.2">
      <c r="A385" s="354"/>
      <c r="B385" s="354"/>
      <c r="C385" s="354"/>
      <c r="D385" s="355"/>
      <c r="E385" s="356"/>
    </row>
    <row r="386" spans="1:6" ht="13.5" thickBot="1" x14ac:dyDescent="0.25">
      <c r="A386" s="324" t="s">
        <v>305</v>
      </c>
      <c r="B386" s="270"/>
      <c r="C386" s="270"/>
      <c r="D386" s="270"/>
      <c r="E386" s="271"/>
    </row>
    <row r="387" spans="1:6" ht="13.5" thickTop="1" x14ac:dyDescent="0.2">
      <c r="A387" s="272" t="s">
        <v>306</v>
      </c>
      <c r="B387" s="273">
        <v>1.05</v>
      </c>
      <c r="C387" s="274" t="s">
        <v>10</v>
      </c>
      <c r="D387" s="275">
        <f>E68</f>
        <v>4783.0078000000003</v>
      </c>
      <c r="E387" s="116">
        <f>ROUND(B387*D387,2)</f>
        <v>5022.16</v>
      </c>
    </row>
    <row r="388" spans="1:6" x14ac:dyDescent="0.2">
      <c r="A388" s="276" t="s">
        <v>249</v>
      </c>
      <c r="B388" s="277">
        <v>1.4</v>
      </c>
      <c r="C388" s="278" t="s">
        <v>122</v>
      </c>
      <c r="D388" s="279">
        <f>+E181</f>
        <v>2522.86</v>
      </c>
      <c r="E388" s="106">
        <f>ROUND(B388*D388,2)</f>
        <v>3532</v>
      </c>
    </row>
    <row r="389" spans="1:6" x14ac:dyDescent="0.2">
      <c r="A389" s="280" t="s">
        <v>276</v>
      </c>
      <c r="B389" s="357">
        <v>10</v>
      </c>
      <c r="C389" s="282" t="s">
        <v>8</v>
      </c>
      <c r="D389" s="283">
        <v>185</v>
      </c>
      <c r="E389" s="106">
        <f>ROUND(B389*D389,2)</f>
        <v>1850</v>
      </c>
    </row>
    <row r="390" spans="1:6" ht="13.5" thickBot="1" x14ac:dyDescent="0.25">
      <c r="A390" s="284"/>
      <c r="B390" s="285"/>
      <c r="C390" s="285"/>
      <c r="D390" s="309" t="s">
        <v>273</v>
      </c>
      <c r="E390" s="287">
        <f>SUM(E387:E389)</f>
        <v>10404.16</v>
      </c>
    </row>
    <row r="391" spans="1:6" ht="13.5" thickTop="1" x14ac:dyDescent="0.2">
      <c r="A391" s="322"/>
      <c r="B391" s="323"/>
      <c r="C391" s="322"/>
      <c r="D391" s="323"/>
      <c r="E391" s="323"/>
    </row>
    <row r="392" spans="1:6" s="57" customFormat="1" x14ac:dyDescent="0.2">
      <c r="A392" s="916" t="s">
        <v>623</v>
      </c>
      <c r="B392" s="557"/>
      <c r="C392" s="557"/>
      <c r="D392" s="558"/>
      <c r="E392" s="559"/>
      <c r="F392" s="1025"/>
    </row>
    <row r="393" spans="1:6" s="57" customFormat="1" ht="13.5" thickBot="1" x14ac:dyDescent="0.25">
      <c r="A393" s="917" t="s">
        <v>624</v>
      </c>
      <c r="B393" s="557"/>
      <c r="C393" s="557"/>
      <c r="D393" s="557"/>
      <c r="E393" s="557"/>
      <c r="F393" s="1025"/>
    </row>
    <row r="394" spans="1:6" s="57" customFormat="1" ht="13.5" thickTop="1" x14ac:dyDescent="0.2">
      <c r="A394" s="918" t="s">
        <v>389</v>
      </c>
      <c r="B394" s="919">
        <v>1.05</v>
      </c>
      <c r="C394" s="920" t="s">
        <v>10</v>
      </c>
      <c r="D394" s="921">
        <f>+E68</f>
        <v>4783.0078000000003</v>
      </c>
      <c r="E394" s="922">
        <f>B394*D394</f>
        <v>5022.1581900000001</v>
      </c>
      <c r="F394" s="1025"/>
    </row>
    <row r="395" spans="1:6" s="57" customFormat="1" x14ac:dyDescent="0.2">
      <c r="A395" s="923" t="s">
        <v>249</v>
      </c>
      <c r="B395" s="835">
        <v>0.81</v>
      </c>
      <c r="C395" s="924" t="s">
        <v>122</v>
      </c>
      <c r="D395" s="925">
        <f>+D388</f>
        <v>2522.86</v>
      </c>
      <c r="E395" s="926">
        <f>B395*D395</f>
        <v>2043.5166000000002</v>
      </c>
      <c r="F395" s="1025"/>
    </row>
    <row r="396" spans="1:6" s="57" customFormat="1" ht="13.5" thickBot="1" x14ac:dyDescent="0.25">
      <c r="A396" s="927"/>
      <c r="B396" s="928"/>
      <c r="C396" s="928"/>
      <c r="D396" s="929" t="s">
        <v>140</v>
      </c>
      <c r="E396" s="930">
        <f>ROUND(SUM(E393:E395),2)</f>
        <v>7065.67</v>
      </c>
      <c r="F396" s="1025"/>
    </row>
    <row r="397" spans="1:6" s="57" customFormat="1" ht="13.5" thickTop="1" x14ac:dyDescent="0.2">
      <c r="A397" s="931"/>
      <c r="B397" s="931"/>
      <c r="C397" s="931"/>
      <c r="D397" s="931"/>
      <c r="E397" s="931"/>
      <c r="F397" s="1025"/>
    </row>
    <row r="398" spans="1:6" s="57" customFormat="1" ht="13.5" thickBot="1" x14ac:dyDescent="0.25">
      <c r="A398" s="932" t="s">
        <v>625</v>
      </c>
      <c r="B398" s="557"/>
      <c r="C398" s="557"/>
      <c r="D398" s="557"/>
      <c r="E398" s="557"/>
      <c r="F398" s="1025"/>
    </row>
    <row r="399" spans="1:6" s="57" customFormat="1" ht="13.5" thickTop="1" x14ac:dyDescent="0.2">
      <c r="A399" s="918" t="s">
        <v>389</v>
      </c>
      <c r="B399" s="919">
        <v>1.05</v>
      </c>
      <c r="C399" s="920" t="s">
        <v>10</v>
      </c>
      <c r="D399" s="921">
        <f>D394</f>
        <v>4783.0078000000003</v>
      </c>
      <c r="E399" s="922">
        <f>B399*D399</f>
        <v>5022.1581900000001</v>
      </c>
      <c r="F399" s="1025"/>
    </row>
    <row r="400" spans="1:6" s="57" customFormat="1" x14ac:dyDescent="0.2">
      <c r="A400" s="923" t="s">
        <v>249</v>
      </c>
      <c r="B400" s="835">
        <v>1.22</v>
      </c>
      <c r="C400" s="924" t="s">
        <v>122</v>
      </c>
      <c r="D400" s="925">
        <f>+D395</f>
        <v>2522.86</v>
      </c>
      <c r="E400" s="926">
        <f>B400*D400</f>
        <v>3077.8892000000001</v>
      </c>
      <c r="F400" s="1025"/>
    </row>
    <row r="401" spans="1:6" s="57" customFormat="1" ht="13.5" thickBot="1" x14ac:dyDescent="0.25">
      <c r="A401" s="927"/>
      <c r="B401" s="928"/>
      <c r="C401" s="928"/>
      <c r="D401" s="929" t="s">
        <v>140</v>
      </c>
      <c r="E401" s="930">
        <f>ROUND(SUM(E398:E400),2)</f>
        <v>8100.05</v>
      </c>
      <c r="F401" s="1025"/>
    </row>
    <row r="402" spans="1:6" s="57" customFormat="1" ht="13.5" thickTop="1" x14ac:dyDescent="0.2">
      <c r="A402" s="933"/>
      <c r="B402" s="931"/>
      <c r="C402" s="931"/>
      <c r="D402" s="931"/>
      <c r="E402" s="931"/>
      <c r="F402" s="1025"/>
    </row>
    <row r="403" spans="1:6" s="57" customFormat="1" ht="13.5" thickBot="1" x14ac:dyDescent="0.25">
      <c r="A403" s="932" t="s">
        <v>626</v>
      </c>
      <c r="B403" s="557"/>
      <c r="C403" s="557"/>
      <c r="D403" s="557"/>
      <c r="E403" s="557"/>
      <c r="F403" s="1025"/>
    </row>
    <row r="404" spans="1:6" s="57" customFormat="1" ht="13.5" thickTop="1" x14ac:dyDescent="0.2">
      <c r="A404" s="918" t="s">
        <v>389</v>
      </c>
      <c r="B404" s="919">
        <v>1.05</v>
      </c>
      <c r="C404" s="920" t="s">
        <v>10</v>
      </c>
      <c r="D404" s="921">
        <f>D399</f>
        <v>4783.0078000000003</v>
      </c>
      <c r="E404" s="922">
        <f>B404*D404</f>
        <v>5022.1581900000001</v>
      </c>
      <c r="F404" s="1025"/>
    </row>
    <row r="405" spans="1:6" s="57" customFormat="1" x14ac:dyDescent="0.2">
      <c r="A405" s="923" t="s">
        <v>249</v>
      </c>
      <c r="B405" s="830">
        <v>4.57</v>
      </c>
      <c r="C405" s="924" t="s">
        <v>122</v>
      </c>
      <c r="D405" s="925">
        <f>+D400</f>
        <v>2522.86</v>
      </c>
      <c r="E405" s="926">
        <f>B405*D405</f>
        <v>11529.470200000002</v>
      </c>
      <c r="F405" s="1025"/>
    </row>
    <row r="406" spans="1:6" s="57" customFormat="1" x14ac:dyDescent="0.2">
      <c r="A406" s="923" t="s">
        <v>281</v>
      </c>
      <c r="B406" s="835">
        <f>1/0.15*0.15</f>
        <v>1</v>
      </c>
      <c r="C406" s="832" t="s">
        <v>15</v>
      </c>
      <c r="D406" s="925">
        <v>125</v>
      </c>
      <c r="E406" s="926">
        <f>B406*D406</f>
        <v>125</v>
      </c>
      <c r="F406" s="1025"/>
    </row>
    <row r="407" spans="1:6" s="57" customFormat="1" ht="13.5" thickBot="1" x14ac:dyDescent="0.25">
      <c r="A407" s="927"/>
      <c r="B407" s="928"/>
      <c r="C407" s="928"/>
      <c r="D407" s="929" t="s">
        <v>140</v>
      </c>
      <c r="E407" s="930">
        <f>ROUND(SUM(E404:E406),2)</f>
        <v>16676.63</v>
      </c>
      <c r="F407" s="1025"/>
    </row>
    <row r="408" spans="1:6" s="57" customFormat="1" ht="13.5" thickTop="1" x14ac:dyDescent="0.2">
      <c r="A408" s="934"/>
      <c r="B408" s="934"/>
      <c r="C408" s="934"/>
      <c r="D408" s="934"/>
      <c r="E408" s="934"/>
      <c r="F408" s="1025"/>
    </row>
    <row r="409" spans="1:6" s="57" customFormat="1" ht="13.5" thickBot="1" x14ac:dyDescent="0.25">
      <c r="A409" s="932" t="s">
        <v>627</v>
      </c>
      <c r="B409" s="935"/>
      <c r="C409" s="935"/>
      <c r="D409" s="935"/>
      <c r="E409" s="935"/>
      <c r="F409" s="1025"/>
    </row>
    <row r="410" spans="1:6" s="57" customFormat="1" ht="13.5" thickTop="1" x14ac:dyDescent="0.2">
      <c r="A410" s="936" t="s">
        <v>389</v>
      </c>
      <c r="B410" s="937">
        <v>1.05</v>
      </c>
      <c r="C410" s="938" t="s">
        <v>10</v>
      </c>
      <c r="D410" s="939">
        <f>D424</f>
        <v>4783.0078000000003</v>
      </c>
      <c r="E410" s="940">
        <f>B410*D410</f>
        <v>5022.1581900000001</v>
      </c>
      <c r="F410" s="1025"/>
    </row>
    <row r="411" spans="1:6" s="57" customFormat="1" x14ac:dyDescent="0.2">
      <c r="A411" s="923" t="s">
        <v>628</v>
      </c>
      <c r="B411" s="830">
        <v>1.04</v>
      </c>
      <c r="C411" s="832" t="s">
        <v>122</v>
      </c>
      <c r="D411" s="925">
        <f>D425</f>
        <v>2522.86</v>
      </c>
      <c r="E411" s="926">
        <f>B411*D411</f>
        <v>2623.7744000000002</v>
      </c>
      <c r="F411" s="1025"/>
    </row>
    <row r="412" spans="1:6" s="57" customFormat="1" x14ac:dyDescent="0.2">
      <c r="A412" s="923" t="s">
        <v>629</v>
      </c>
      <c r="B412" s="835">
        <f>1/0.1</f>
        <v>10</v>
      </c>
      <c r="C412" s="832" t="s">
        <v>16</v>
      </c>
      <c r="D412" s="925">
        <v>150</v>
      </c>
      <c r="E412" s="926">
        <f>B412*D412</f>
        <v>1500</v>
      </c>
      <c r="F412" s="1025"/>
    </row>
    <row r="413" spans="1:6" s="57" customFormat="1" ht="13.5" thickBot="1" x14ac:dyDescent="0.25">
      <c r="A413" s="927"/>
      <c r="B413" s="928"/>
      <c r="C413" s="928"/>
      <c r="D413" s="929" t="s">
        <v>140</v>
      </c>
      <c r="E413" s="930">
        <f>ROUND(SUM(E410:E412),2)</f>
        <v>9145.93</v>
      </c>
      <c r="F413" s="1025"/>
    </row>
    <row r="414" spans="1:6" s="57" customFormat="1" ht="13.5" thickTop="1" x14ac:dyDescent="0.2">
      <c r="A414" s="931"/>
      <c r="B414" s="931"/>
      <c r="C414" s="931"/>
      <c r="D414" s="931"/>
      <c r="E414" s="931"/>
      <c r="F414" s="1025"/>
    </row>
    <row r="415" spans="1:6" s="57" customFormat="1" x14ac:dyDescent="0.2">
      <c r="A415" s="931"/>
      <c r="B415" s="931"/>
      <c r="C415" s="931"/>
      <c r="D415" s="931"/>
      <c r="E415" s="931"/>
      <c r="F415" s="1025"/>
    </row>
    <row r="416" spans="1:6" s="57" customFormat="1" x14ac:dyDescent="0.2">
      <c r="A416" s="931"/>
      <c r="B416" s="931"/>
      <c r="C416" s="931"/>
      <c r="D416" s="931"/>
      <c r="E416" s="931"/>
      <c r="F416" s="1025"/>
    </row>
    <row r="417" spans="1:6" s="57" customFormat="1" ht="13.5" thickBot="1" x14ac:dyDescent="0.25">
      <c r="A417" s="917" t="s">
        <v>630</v>
      </c>
      <c r="B417" s="557"/>
      <c r="C417" s="557"/>
      <c r="D417" s="557"/>
      <c r="E417" s="557"/>
      <c r="F417" s="1025"/>
    </row>
    <row r="418" spans="1:6" s="57" customFormat="1" ht="13.5" thickTop="1" x14ac:dyDescent="0.2">
      <c r="A418" s="918" t="s">
        <v>389</v>
      </c>
      <c r="B418" s="919">
        <v>1.05</v>
      </c>
      <c r="C418" s="920" t="s">
        <v>10</v>
      </c>
      <c r="D418" s="921">
        <f>D404</f>
        <v>4783.0078000000003</v>
      </c>
      <c r="E418" s="922">
        <f>B418*D418</f>
        <v>5022.1581900000001</v>
      </c>
      <c r="F418" s="1025"/>
    </row>
    <row r="419" spans="1:6" s="57" customFormat="1" x14ac:dyDescent="0.2">
      <c r="A419" s="923" t="s">
        <v>249</v>
      </c>
      <c r="B419" s="830">
        <v>4.76</v>
      </c>
      <c r="C419" s="924" t="s">
        <v>122</v>
      </c>
      <c r="D419" s="925">
        <f>D405</f>
        <v>2522.86</v>
      </c>
      <c r="E419" s="926">
        <f>B419*D419</f>
        <v>12008.813599999999</v>
      </c>
      <c r="F419" s="1025"/>
    </row>
    <row r="420" spans="1:6" s="57" customFormat="1" x14ac:dyDescent="0.2">
      <c r="A420" s="923" t="s">
        <v>281</v>
      </c>
      <c r="B420" s="835">
        <f>1/(0.15*0.1)</f>
        <v>66.666666666666671</v>
      </c>
      <c r="C420" s="832" t="s">
        <v>15</v>
      </c>
      <c r="D420" s="925">
        <v>125</v>
      </c>
      <c r="E420" s="926">
        <f>B420*D420</f>
        <v>8333.3333333333339</v>
      </c>
      <c r="F420" s="1025"/>
    </row>
    <row r="421" spans="1:6" s="57" customFormat="1" ht="13.5" thickBot="1" x14ac:dyDescent="0.25">
      <c r="A421" s="927"/>
      <c r="B421" s="928"/>
      <c r="C421" s="928"/>
      <c r="D421" s="929" t="s">
        <v>140</v>
      </c>
      <c r="E421" s="930">
        <f>ROUND(SUM(E418:E420),2)</f>
        <v>25364.31</v>
      </c>
      <c r="F421" s="1025"/>
    </row>
    <row r="422" spans="1:6" s="57" customFormat="1" ht="13.5" thickTop="1" x14ac:dyDescent="0.2">
      <c r="A422" s="931"/>
      <c r="B422" s="931"/>
      <c r="C422" s="931"/>
      <c r="D422" s="931"/>
      <c r="E422" s="931"/>
      <c r="F422" s="1025"/>
    </row>
    <row r="423" spans="1:6" s="57" customFormat="1" ht="13.5" thickBot="1" x14ac:dyDescent="0.25">
      <c r="A423" s="917" t="s">
        <v>631</v>
      </c>
      <c r="B423" s="557"/>
      <c r="C423" s="557"/>
      <c r="D423" s="557"/>
      <c r="E423" s="557"/>
      <c r="F423" s="1025"/>
    </row>
    <row r="424" spans="1:6" s="57" customFormat="1" ht="13.5" thickTop="1" x14ac:dyDescent="0.2">
      <c r="A424" s="918" t="s">
        <v>389</v>
      </c>
      <c r="B424" s="919">
        <v>1.05</v>
      </c>
      <c r="C424" s="920" t="s">
        <v>10</v>
      </c>
      <c r="D424" s="921">
        <f>D418</f>
        <v>4783.0078000000003</v>
      </c>
      <c r="E424" s="922">
        <f>B424*D424</f>
        <v>5022.1581900000001</v>
      </c>
      <c r="F424" s="1025"/>
    </row>
    <row r="425" spans="1:6" s="57" customFormat="1" x14ac:dyDescent="0.2">
      <c r="A425" s="923" t="s">
        <v>628</v>
      </c>
      <c r="B425" s="830">
        <v>7.62</v>
      </c>
      <c r="C425" s="832" t="s">
        <v>122</v>
      </c>
      <c r="D425" s="925">
        <f>D419</f>
        <v>2522.86</v>
      </c>
      <c r="E425" s="926">
        <f>B425*D425</f>
        <v>19224.193200000002</v>
      </c>
      <c r="F425" s="1025"/>
    </row>
    <row r="426" spans="1:6" s="57" customFormat="1" x14ac:dyDescent="0.2">
      <c r="A426" s="941" t="s">
        <v>629</v>
      </c>
      <c r="B426" s="942">
        <f>1/(0.15*0.15)</f>
        <v>44.444444444444443</v>
      </c>
      <c r="C426" s="943" t="s">
        <v>15</v>
      </c>
      <c r="D426" s="944">
        <v>125</v>
      </c>
      <c r="E426" s="945">
        <f>B426*D426</f>
        <v>5555.5555555555557</v>
      </c>
      <c r="F426" s="1025"/>
    </row>
    <row r="427" spans="1:6" s="57" customFormat="1" ht="13.5" thickBot="1" x14ac:dyDescent="0.25">
      <c r="A427" s="946"/>
      <c r="B427" s="947"/>
      <c r="C427" s="947"/>
      <c r="D427" s="438" t="s">
        <v>140</v>
      </c>
      <c r="E427" s="948">
        <f>ROUND(SUM(E424:E426),2)</f>
        <v>29801.91</v>
      </c>
      <c r="F427" s="1025"/>
    </row>
    <row r="428" spans="1:6" s="57" customFormat="1" ht="13.5" thickTop="1" x14ac:dyDescent="0.2">
      <c r="A428" s="949"/>
      <c r="B428" s="949"/>
      <c r="C428" s="949"/>
      <c r="D428" s="949"/>
      <c r="E428" s="949"/>
      <c r="F428" s="1025"/>
    </row>
    <row r="429" spans="1:6" s="57" customFormat="1" x14ac:dyDescent="0.2">
      <c r="A429" s="620" t="s">
        <v>632</v>
      </c>
      <c r="B429" s="488">
        <v>3.4</v>
      </c>
      <c r="C429" s="489" t="s">
        <v>8</v>
      </c>
      <c r="D429" s="14"/>
      <c r="E429" s="14"/>
      <c r="F429" s="1025"/>
    </row>
    <row r="430" spans="1:6" s="57" customFormat="1" x14ac:dyDescent="0.2">
      <c r="A430" s="950" t="s">
        <v>395</v>
      </c>
      <c r="B430" s="494">
        <v>3.4</v>
      </c>
      <c r="C430" s="495" t="s">
        <v>8</v>
      </c>
      <c r="D430" s="494">
        <v>110</v>
      </c>
      <c r="E430" s="951">
        <f>SUM(D430*B430)</f>
        <v>374</v>
      </c>
      <c r="F430" s="1025"/>
    </row>
    <row r="431" spans="1:6" s="57" customFormat="1" x14ac:dyDescent="0.2">
      <c r="A431" s="950" t="s">
        <v>396</v>
      </c>
      <c r="B431" s="494">
        <v>0.3</v>
      </c>
      <c r="C431" s="495" t="s">
        <v>151</v>
      </c>
      <c r="D431" s="494">
        <v>5890</v>
      </c>
      <c r="E431" s="951">
        <f>SUM(D431*B431)</f>
        <v>1767</v>
      </c>
      <c r="F431" s="1025"/>
    </row>
    <row r="432" spans="1:6" s="57" customFormat="1" x14ac:dyDescent="0.2">
      <c r="A432" s="950" t="s">
        <v>397</v>
      </c>
      <c r="B432" s="494">
        <v>0.3</v>
      </c>
      <c r="C432" s="495" t="s">
        <v>151</v>
      </c>
      <c r="D432" s="494">
        <v>5820</v>
      </c>
      <c r="E432" s="951">
        <f>SUM(D432*B432)</f>
        <v>1746</v>
      </c>
      <c r="F432" s="1025"/>
    </row>
    <row r="433" spans="1:8" s="57" customFormat="1" x14ac:dyDescent="0.2">
      <c r="A433" s="950" t="s">
        <v>398</v>
      </c>
      <c r="B433" s="494">
        <v>0.41</v>
      </c>
      <c r="C433" s="495" t="s">
        <v>16</v>
      </c>
      <c r="D433" s="494">
        <v>94.7</v>
      </c>
      <c r="E433" s="951">
        <f>SUM(D433*B433)</f>
        <v>38.826999999999998</v>
      </c>
      <c r="F433" s="1025"/>
    </row>
    <row r="434" spans="1:8" s="57" customFormat="1" x14ac:dyDescent="0.2">
      <c r="A434" s="950" t="s">
        <v>399</v>
      </c>
      <c r="B434" s="494">
        <v>0.41</v>
      </c>
      <c r="C434" s="495" t="s">
        <v>16</v>
      </c>
      <c r="D434" s="494">
        <v>105.05</v>
      </c>
      <c r="E434" s="951">
        <f>SUM(D434*B434)</f>
        <v>43.070499999999996</v>
      </c>
      <c r="F434" s="1025"/>
    </row>
    <row r="435" spans="1:8" s="57" customFormat="1" x14ac:dyDescent="0.2">
      <c r="A435" s="950"/>
      <c r="B435" s="494"/>
      <c r="C435" s="1594" t="s">
        <v>400</v>
      </c>
      <c r="D435" s="1595"/>
      <c r="E435" s="597">
        <f>SUM(E430:E434)</f>
        <v>3968.8975</v>
      </c>
      <c r="F435" s="1025"/>
    </row>
    <row r="436" spans="1:8" s="57" customFormat="1" ht="15.75" x14ac:dyDescent="0.25">
      <c r="A436" s="915"/>
      <c r="B436" s="915"/>
      <c r="C436" s="915"/>
      <c r="D436" s="915"/>
      <c r="E436" s="915"/>
      <c r="F436" s="1025"/>
    </row>
    <row r="437" spans="1:8" s="57" customFormat="1" x14ac:dyDescent="0.2">
      <c r="A437" s="1232" t="s">
        <v>361</v>
      </c>
      <c r="B437" s="1233"/>
      <c r="C437" s="1234"/>
      <c r="D437" s="1235"/>
      <c r="E437" s="1236"/>
      <c r="F437" s="1025"/>
    </row>
    <row r="438" spans="1:8" s="57" customFormat="1" x14ac:dyDescent="0.2">
      <c r="A438" s="1237" t="s">
        <v>647</v>
      </c>
      <c r="B438" s="1238">
        <v>1</v>
      </c>
      <c r="C438" s="1234" t="s">
        <v>10</v>
      </c>
      <c r="D438" s="1235">
        <v>950</v>
      </c>
      <c r="E438" s="1239">
        <f>ROUND(B438*D438,2)</f>
        <v>950</v>
      </c>
      <c r="F438" s="1025"/>
    </row>
    <row r="439" spans="1:8" s="57" customFormat="1" x14ac:dyDescent="0.2">
      <c r="A439" s="1237" t="s">
        <v>648</v>
      </c>
      <c r="B439" s="1238">
        <v>1</v>
      </c>
      <c r="C439" s="1234" t="s">
        <v>151</v>
      </c>
      <c r="D439" s="1235">
        <f>3*659</f>
        <v>1977</v>
      </c>
      <c r="E439" s="1239">
        <f>ROUND(B439*D439,2)</f>
        <v>1977</v>
      </c>
      <c r="F439" s="1025"/>
    </row>
    <row r="440" spans="1:8" s="57" customFormat="1" x14ac:dyDescent="0.2">
      <c r="A440" s="1237" t="s">
        <v>649</v>
      </c>
      <c r="B440" s="1238">
        <v>3</v>
      </c>
      <c r="C440" s="1234" t="s">
        <v>13</v>
      </c>
      <c r="D440" s="1235">
        <f>E439</f>
        <v>1977</v>
      </c>
      <c r="E440" s="1239">
        <f>ROUND(B440*D440,2)/100</f>
        <v>59.31</v>
      </c>
      <c r="F440" s="1025"/>
    </row>
    <row r="441" spans="1:8" s="57" customFormat="1" x14ac:dyDescent="0.2">
      <c r="A441" s="1240" t="s">
        <v>350</v>
      </c>
      <c r="B441" s="1238">
        <v>18</v>
      </c>
      <c r="C441" s="1234" t="s">
        <v>650</v>
      </c>
      <c r="D441" s="1236"/>
      <c r="E441" s="1241">
        <f>SUM(E439:E440)</f>
        <v>2036.31</v>
      </c>
      <c r="F441" s="1025"/>
    </row>
    <row r="442" spans="1:8" s="57" customFormat="1" x14ac:dyDescent="0.2">
      <c r="A442" s="1240" t="s">
        <v>651</v>
      </c>
      <c r="B442" s="1233"/>
      <c r="C442" s="1234"/>
      <c r="D442" s="1236" t="s">
        <v>652</v>
      </c>
      <c r="E442" s="1241">
        <f>E441/B441</f>
        <v>113.12833333333333</v>
      </c>
      <c r="F442" s="1025"/>
    </row>
    <row r="443" spans="1:8" s="57" customFormat="1" x14ac:dyDescent="0.2">
      <c r="A443" s="1237"/>
      <c r="B443" s="1233"/>
      <c r="C443" s="1234"/>
      <c r="D443" s="1242" t="s">
        <v>652</v>
      </c>
      <c r="E443" s="1243">
        <f>E438+E442</f>
        <v>1063.1283333333333</v>
      </c>
      <c r="F443" s="1025"/>
    </row>
    <row r="444" spans="1:8" s="57" customFormat="1" ht="15.75" x14ac:dyDescent="0.25">
      <c r="A444" s="915"/>
      <c r="B444" s="915"/>
      <c r="C444" s="915"/>
      <c r="D444" s="915"/>
      <c r="E444" s="915"/>
      <c r="F444" s="1025"/>
    </row>
    <row r="445" spans="1:8" s="1025" customFormat="1" ht="15.75" x14ac:dyDescent="0.25">
      <c r="A445" s="1117" t="s">
        <v>706</v>
      </c>
      <c r="B445" s="1483"/>
      <c r="C445" s="1483"/>
      <c r="D445" s="1118"/>
      <c r="E445" s="1118"/>
    </row>
    <row r="446" spans="1:8" s="1025" customFormat="1" ht="15" x14ac:dyDescent="0.2">
      <c r="A446" s="1482" t="s">
        <v>707</v>
      </c>
      <c r="B446" s="959">
        <v>1</v>
      </c>
      <c r="C446" s="1483" t="s">
        <v>714</v>
      </c>
      <c r="D446" s="958">
        <v>200</v>
      </c>
      <c r="E446" s="958">
        <f>+B446*D446</f>
        <v>200</v>
      </c>
    </row>
    <row r="447" spans="1:8" s="1025" customFormat="1" ht="15" x14ac:dyDescent="0.2">
      <c r="A447" s="1482" t="s">
        <v>708</v>
      </c>
      <c r="B447" s="959">
        <v>1</v>
      </c>
      <c r="C447" s="1483" t="s">
        <v>714</v>
      </c>
      <c r="D447" s="958">
        <v>27.72</v>
      </c>
      <c r="E447" s="958">
        <f t="shared" ref="E447:E450" si="7">+B447*D447</f>
        <v>27.72</v>
      </c>
      <c r="F447" s="1481" t="e">
        <f>+D447+#REF!</f>
        <v>#REF!</v>
      </c>
      <c r="G447" s="1025">
        <v>20.2</v>
      </c>
      <c r="H447" s="1025">
        <f>+G447/3</f>
        <v>6.7333333333333334</v>
      </c>
    </row>
    <row r="448" spans="1:8" s="1025" customFormat="1" ht="15" x14ac:dyDescent="0.2">
      <c r="A448" s="1482" t="s">
        <v>709</v>
      </c>
      <c r="B448" s="959">
        <v>1</v>
      </c>
      <c r="C448" s="1483" t="s">
        <v>714</v>
      </c>
      <c r="D448" s="958">
        <v>33.53</v>
      </c>
      <c r="E448" s="958">
        <f t="shared" si="7"/>
        <v>33.53</v>
      </c>
      <c r="F448" s="1481" t="e">
        <f>+D448+#REF!</f>
        <v>#REF!</v>
      </c>
    </row>
    <row r="449" spans="1:6" s="1025" customFormat="1" ht="15" x14ac:dyDescent="0.2">
      <c r="A449" s="1482" t="s">
        <v>710</v>
      </c>
      <c r="B449" s="959">
        <v>1</v>
      </c>
      <c r="C449" s="1483" t="s">
        <v>714</v>
      </c>
      <c r="D449" s="958">
        <v>49.25</v>
      </c>
      <c r="E449" s="958">
        <f t="shared" si="7"/>
        <v>49.25</v>
      </c>
      <c r="F449" s="1481" t="e">
        <f>+D449+#REF!</f>
        <v>#REF!</v>
      </c>
    </row>
    <row r="450" spans="1:6" s="1025" customFormat="1" ht="15" x14ac:dyDescent="0.2">
      <c r="A450" s="1482" t="s">
        <v>711</v>
      </c>
      <c r="B450" s="1119">
        <v>10</v>
      </c>
      <c r="C450" s="1119" t="s">
        <v>713</v>
      </c>
      <c r="D450" s="1119">
        <v>19.22</v>
      </c>
      <c r="E450" s="1119">
        <f t="shared" si="7"/>
        <v>192.2</v>
      </c>
      <c r="F450" s="1481" t="e">
        <f>+D450+#REF!</f>
        <v>#REF!</v>
      </c>
    </row>
    <row r="451" spans="1:6" s="1025" customFormat="1" ht="15" x14ac:dyDescent="0.2">
      <c r="A451" s="1482" t="s">
        <v>712</v>
      </c>
      <c r="B451" s="1119"/>
      <c r="C451" s="1119"/>
      <c r="D451" s="1119"/>
      <c r="E451" s="1120"/>
    </row>
    <row r="452" spans="1:6" x14ac:dyDescent="0.2">
      <c r="A452" s="1023"/>
      <c r="B452" s="1600" t="s">
        <v>837</v>
      </c>
      <c r="C452" s="1600"/>
      <c r="D452" s="1112"/>
      <c r="E452" s="1480">
        <f>SUM(E446:E451)</f>
        <v>502.7</v>
      </c>
    </row>
    <row r="453" spans="1:6" x14ac:dyDescent="0.2">
      <c r="B453" s="1026"/>
      <c r="C453" s="1026"/>
    </row>
    <row r="454" spans="1:6" s="1449" customFormat="1" x14ac:dyDescent="0.2">
      <c r="B454" s="1026"/>
      <c r="C454" s="1026"/>
      <c r="F454" s="1025"/>
    </row>
    <row r="455" spans="1:6" s="1449" customFormat="1" ht="15.75" x14ac:dyDescent="0.25">
      <c r="A455" s="1117" t="s">
        <v>844</v>
      </c>
      <c r="B455" s="1483"/>
      <c r="C455" s="1483"/>
      <c r="D455" s="1118"/>
      <c r="E455" s="1118"/>
      <c r="F455" s="1025"/>
    </row>
    <row r="456" spans="1:6" s="1449" customFormat="1" ht="15" x14ac:dyDescent="0.2">
      <c r="A456" s="1482" t="s">
        <v>707</v>
      </c>
      <c r="B456" s="959">
        <v>1</v>
      </c>
      <c r="C456" s="1483" t="s">
        <v>714</v>
      </c>
      <c r="D456" s="958">
        <v>250</v>
      </c>
      <c r="E456" s="958">
        <f>+B456*D456</f>
        <v>250</v>
      </c>
      <c r="F456" s="1025"/>
    </row>
    <row r="457" spans="1:6" s="1449" customFormat="1" ht="15" x14ac:dyDescent="0.2">
      <c r="A457" s="1482" t="s">
        <v>708</v>
      </c>
      <c r="B457" s="959">
        <v>1</v>
      </c>
      <c r="C457" s="1483" t="s">
        <v>714</v>
      </c>
      <c r="D457" s="958">
        <v>27.72</v>
      </c>
      <c r="E457" s="958">
        <f t="shared" ref="E457:E460" si="8">+B457*D457</f>
        <v>27.72</v>
      </c>
      <c r="F457" s="1025"/>
    </row>
    <row r="458" spans="1:6" s="1449" customFormat="1" ht="15" x14ac:dyDescent="0.2">
      <c r="A458" s="1482" t="s">
        <v>709</v>
      </c>
      <c r="B458" s="959">
        <v>1</v>
      </c>
      <c r="C458" s="1483" t="s">
        <v>714</v>
      </c>
      <c r="D458" s="958">
        <v>33.53</v>
      </c>
      <c r="E458" s="958">
        <f t="shared" si="8"/>
        <v>33.53</v>
      </c>
      <c r="F458" s="1025"/>
    </row>
    <row r="459" spans="1:6" s="1449" customFormat="1" ht="15" x14ac:dyDescent="0.2">
      <c r="A459" s="1482" t="s">
        <v>710</v>
      </c>
      <c r="B459" s="959">
        <v>1</v>
      </c>
      <c r="C459" s="1483" t="s">
        <v>714</v>
      </c>
      <c r="D459" s="958">
        <v>49.25</v>
      </c>
      <c r="E459" s="958">
        <f t="shared" si="8"/>
        <v>49.25</v>
      </c>
      <c r="F459" s="1025"/>
    </row>
    <row r="460" spans="1:6" s="1449" customFormat="1" ht="15" x14ac:dyDescent="0.2">
      <c r="A460" s="1482" t="s">
        <v>711</v>
      </c>
      <c r="B460" s="1119">
        <v>20</v>
      </c>
      <c r="C460" s="1119" t="s">
        <v>713</v>
      </c>
      <c r="D460" s="1119">
        <v>18.21</v>
      </c>
      <c r="E460" s="1119">
        <f t="shared" si="8"/>
        <v>364.20000000000005</v>
      </c>
      <c r="F460" s="1025"/>
    </row>
    <row r="461" spans="1:6" s="1449" customFormat="1" ht="15" x14ac:dyDescent="0.2">
      <c r="A461" s="1482" t="s">
        <v>712</v>
      </c>
      <c r="B461" s="1119"/>
      <c r="C461" s="1119"/>
      <c r="D461" s="1119"/>
      <c r="E461" s="1120"/>
      <c r="F461" s="1025"/>
    </row>
    <row r="462" spans="1:6" s="1449" customFormat="1" x14ac:dyDescent="0.2">
      <c r="A462" s="1448"/>
      <c r="B462" s="1596" t="s">
        <v>837</v>
      </c>
      <c r="C462" s="1596"/>
      <c r="D462" s="1112"/>
      <c r="E462" s="1480">
        <f>SUM(E456:E461)</f>
        <v>724.7</v>
      </c>
      <c r="F462" s="1025"/>
    </row>
    <row r="463" spans="1:6" s="1486" customFormat="1" x14ac:dyDescent="0.2">
      <c r="A463" s="854"/>
      <c r="B463" s="1512"/>
      <c r="C463" s="1512"/>
      <c r="D463" s="1513"/>
      <c r="E463" s="1514"/>
      <c r="F463" s="1025"/>
    </row>
    <row r="464" spans="1:6" s="1486" customFormat="1" ht="15.75" x14ac:dyDescent="0.25">
      <c r="A464" s="1515" t="s">
        <v>857</v>
      </c>
      <c r="B464" s="1512"/>
      <c r="C464" s="1512"/>
      <c r="D464" s="1513"/>
      <c r="E464" s="1514"/>
      <c r="F464" s="1025"/>
    </row>
    <row r="465" spans="1:6" s="1449" customFormat="1" x14ac:dyDescent="0.2">
      <c r="F465" s="1025"/>
    </row>
    <row r="466" spans="1:6" s="1449" customFormat="1" x14ac:dyDescent="0.2">
      <c r="A466" s="1511"/>
      <c r="F466" s="1121"/>
    </row>
    <row r="467" spans="1:6" s="1449" customFormat="1" ht="13.5" thickBot="1" x14ac:dyDescent="0.25">
      <c r="A467" s="1511" t="s">
        <v>856</v>
      </c>
      <c r="B467" s="557"/>
      <c r="C467" s="557"/>
      <c r="D467" s="557"/>
      <c r="E467" s="557"/>
      <c r="F467" s="1121"/>
    </row>
    <row r="468" spans="1:6" s="1449" customFormat="1" ht="13.5" thickTop="1" x14ac:dyDescent="0.2">
      <c r="A468" s="918" t="s">
        <v>389</v>
      </c>
      <c r="B468" s="919">
        <v>1.05</v>
      </c>
      <c r="C468" s="920" t="s">
        <v>10</v>
      </c>
      <c r="D468" s="921">
        <f>+E68</f>
        <v>4783.0078000000003</v>
      </c>
      <c r="E468" s="922">
        <f>B468*D468</f>
        <v>5022.1581900000001</v>
      </c>
      <c r="F468" s="1121"/>
    </row>
    <row r="469" spans="1:6" s="1486" customFormat="1" x14ac:dyDescent="0.2">
      <c r="A469" s="923" t="s">
        <v>249</v>
      </c>
      <c r="B469" s="835">
        <v>0.98</v>
      </c>
      <c r="C469" s="924" t="s">
        <v>122</v>
      </c>
      <c r="D469" s="925">
        <f>+D411</f>
        <v>2522.86</v>
      </c>
      <c r="E469" s="926">
        <f>B469*D469</f>
        <v>2472.4028000000003</v>
      </c>
      <c r="F469" s="1516"/>
    </row>
    <row r="470" spans="1:6" s="1486" customFormat="1" ht="13.5" thickBot="1" x14ac:dyDescent="0.25">
      <c r="A470" s="927"/>
      <c r="B470" s="928"/>
      <c r="C470" s="928"/>
      <c r="D470" s="929" t="s">
        <v>140</v>
      </c>
      <c r="E470" s="930">
        <f>ROUND(SUM(E467:E469),2)</f>
        <v>7494.56</v>
      </c>
      <c r="F470" s="1516"/>
    </row>
    <row r="471" spans="1:6" s="1486" customFormat="1" ht="13.5" thickTop="1" x14ac:dyDescent="0.2">
      <c r="F471" s="1516"/>
    </row>
    <row r="472" spans="1:6" s="1486" customFormat="1" ht="13.5" thickBot="1" x14ac:dyDescent="0.25">
      <c r="A472" s="932" t="s">
        <v>626</v>
      </c>
      <c r="B472" s="557"/>
      <c r="C472" s="557"/>
      <c r="D472" s="557"/>
      <c r="E472" s="557"/>
      <c r="F472" s="1516"/>
    </row>
    <row r="473" spans="1:6" s="1486" customFormat="1" ht="13.5" thickTop="1" x14ac:dyDescent="0.2">
      <c r="A473" s="918" t="s">
        <v>389</v>
      </c>
      <c r="B473" s="919">
        <v>1.05</v>
      </c>
      <c r="C473" s="920" t="s">
        <v>10</v>
      </c>
      <c r="D473" s="921">
        <f>+D468</f>
        <v>4783.0078000000003</v>
      </c>
      <c r="E473" s="922">
        <f>B473*D473</f>
        <v>5022.1581900000001</v>
      </c>
      <c r="F473" s="1516"/>
    </row>
    <row r="474" spans="1:6" s="1486" customFormat="1" x14ac:dyDescent="0.2">
      <c r="A474" s="923" t="s">
        <v>249</v>
      </c>
      <c r="B474" s="830">
        <v>4.57</v>
      </c>
      <c r="C474" s="924" t="s">
        <v>122</v>
      </c>
      <c r="D474" s="925">
        <f>+D469</f>
        <v>2522.86</v>
      </c>
      <c r="E474" s="926">
        <f>B474*D474</f>
        <v>11529.470200000002</v>
      </c>
      <c r="F474" s="1516"/>
    </row>
    <row r="475" spans="1:6" s="1486" customFormat="1" x14ac:dyDescent="0.2">
      <c r="A475" s="923" t="s">
        <v>281</v>
      </c>
      <c r="B475" s="835">
        <f>1/0.15*0.15</f>
        <v>1</v>
      </c>
      <c r="C475" s="832" t="s">
        <v>15</v>
      </c>
      <c r="D475" s="925">
        <v>200</v>
      </c>
      <c r="E475" s="926">
        <f>B475*D475</f>
        <v>200</v>
      </c>
      <c r="F475" s="1516"/>
    </row>
    <row r="476" spans="1:6" s="1486" customFormat="1" ht="13.5" thickBot="1" x14ac:dyDescent="0.25">
      <c r="A476" s="927"/>
      <c r="B476" s="928"/>
      <c r="C476" s="928"/>
      <c r="D476" s="929" t="s">
        <v>140</v>
      </c>
      <c r="E476" s="930">
        <f>ROUND(SUM(E473:E475),2)</f>
        <v>16751.63</v>
      </c>
      <c r="F476" s="1516"/>
    </row>
    <row r="477" spans="1:6" s="1486" customFormat="1" ht="13.5" thickTop="1" x14ac:dyDescent="0.2">
      <c r="F477" s="1516"/>
    </row>
    <row r="478" spans="1:6" s="1486" customFormat="1" x14ac:dyDescent="0.2">
      <c r="F478" s="1516"/>
    </row>
    <row r="479" spans="1:6" s="1486" customFormat="1" ht="13.5" thickBot="1" x14ac:dyDescent="0.25">
      <c r="A479" s="1511" t="s">
        <v>848</v>
      </c>
      <c r="B479" s="1511"/>
      <c r="F479" s="1516"/>
    </row>
    <row r="480" spans="1:6" s="1486" customFormat="1" ht="13.5" thickTop="1" x14ac:dyDescent="0.2">
      <c r="A480" s="936" t="s">
        <v>389</v>
      </c>
      <c r="B480" s="937">
        <v>1.05</v>
      </c>
      <c r="C480" s="938" t="s">
        <v>10</v>
      </c>
      <c r="D480" s="939">
        <f>+D473</f>
        <v>4783.0078000000003</v>
      </c>
      <c r="E480" s="940">
        <f>B480*D480</f>
        <v>5022.1581900000001</v>
      </c>
      <c r="F480" s="1516"/>
    </row>
    <row r="481" spans="1:7" s="1486" customFormat="1" x14ac:dyDescent="0.2">
      <c r="A481" s="923" t="s">
        <v>628</v>
      </c>
      <c r="B481" s="830">
        <v>1.65</v>
      </c>
      <c r="C481" s="832" t="s">
        <v>122</v>
      </c>
      <c r="D481" s="925">
        <f>+D474</f>
        <v>2522.86</v>
      </c>
      <c r="E481" s="926">
        <f>B481*D481</f>
        <v>4162.7190000000001</v>
      </c>
      <c r="F481" s="1516"/>
    </row>
    <row r="482" spans="1:7" s="1486" customFormat="1" x14ac:dyDescent="0.2">
      <c r="A482" s="923" t="s">
        <v>629</v>
      </c>
      <c r="B482" s="835">
        <f>1/0.1</f>
        <v>10</v>
      </c>
      <c r="C482" s="832" t="s">
        <v>16</v>
      </c>
      <c r="D482" s="925">
        <v>250</v>
      </c>
      <c r="E482" s="926">
        <f>B482*D482</f>
        <v>2500</v>
      </c>
      <c r="F482" s="1516"/>
    </row>
    <row r="483" spans="1:7" s="1486" customFormat="1" ht="13.5" thickBot="1" x14ac:dyDescent="0.25">
      <c r="A483" s="927"/>
      <c r="B483" s="928"/>
      <c r="C483" s="928"/>
      <c r="D483" s="929" t="s">
        <v>140</v>
      </c>
      <c r="E483" s="930">
        <f>ROUND(SUM(E480:E482),2)</f>
        <v>11684.88</v>
      </c>
      <c r="F483" s="1516"/>
    </row>
    <row r="484" spans="1:7" ht="13.5" thickTop="1" x14ac:dyDescent="0.2"/>
    <row r="485" spans="1:7" x14ac:dyDescent="0.2">
      <c r="A485" s="984" t="s">
        <v>653</v>
      </c>
    </row>
    <row r="487" spans="1:7" ht="13.5" thickBot="1" x14ac:dyDescent="0.25">
      <c r="A487" s="983" t="s">
        <v>663</v>
      </c>
      <c r="B487" s="962">
        <v>0.2</v>
      </c>
      <c r="C487" s="963"/>
      <c r="D487" s="963"/>
      <c r="E487" s="964"/>
    </row>
    <row r="488" spans="1:7" ht="13.5" thickTop="1" x14ac:dyDescent="0.2">
      <c r="A488" s="965" t="s">
        <v>306</v>
      </c>
      <c r="B488" s="966">
        <v>1.05</v>
      </c>
      <c r="C488" s="967" t="s">
        <v>10</v>
      </c>
      <c r="D488" s="968">
        <f>+E68</f>
        <v>4783.0078000000003</v>
      </c>
      <c r="E488" s="969">
        <f>ROUND(B488*D488,2)</f>
        <v>5022.16</v>
      </c>
    </row>
    <row r="489" spans="1:7" x14ac:dyDescent="0.2">
      <c r="A489" s="970" t="s">
        <v>249</v>
      </c>
      <c r="B489" s="971">
        <v>1.45</v>
      </c>
      <c r="C489" s="972" t="s">
        <v>122</v>
      </c>
      <c r="D489" s="973">
        <f>+D425</f>
        <v>2522.86</v>
      </c>
      <c r="E489" s="974">
        <f>ROUND(B489*D489,2)</f>
        <v>3658.15</v>
      </c>
    </row>
    <row r="490" spans="1:7" x14ac:dyDescent="0.2">
      <c r="A490" s="975" t="s">
        <v>276</v>
      </c>
      <c r="B490" s="976">
        <f>ROUND(1/B487,2)</f>
        <v>5</v>
      </c>
      <c r="C490" s="977" t="s">
        <v>8</v>
      </c>
      <c r="D490" s="978">
        <v>900</v>
      </c>
      <c r="E490" s="974">
        <f>ROUND(B490*D490,2)</f>
        <v>4500</v>
      </c>
    </row>
    <row r="491" spans="1:7" ht="13.5" thickBot="1" x14ac:dyDescent="0.25">
      <c r="A491" s="979"/>
      <c r="B491" s="980"/>
      <c r="C491" s="980"/>
      <c r="D491" s="981" t="s">
        <v>273</v>
      </c>
      <c r="E491" s="982">
        <f>SUM(E488:E490)</f>
        <v>13180.31</v>
      </c>
    </row>
    <row r="492" spans="1:7" ht="13.5" thickTop="1" x14ac:dyDescent="0.2"/>
    <row r="493" spans="1:7" ht="13.5" thickBot="1" x14ac:dyDescent="0.25">
      <c r="A493" s="720" t="s">
        <v>659</v>
      </c>
      <c r="B493" s="935"/>
      <c r="C493" s="935"/>
      <c r="D493" s="935"/>
      <c r="E493" s="935"/>
    </row>
    <row r="494" spans="1:7" ht="13.5" thickTop="1" x14ac:dyDescent="0.2">
      <c r="A494" s="936" t="s">
        <v>389</v>
      </c>
      <c r="B494" s="937">
        <v>1.05</v>
      </c>
      <c r="C494" s="938" t="s">
        <v>10</v>
      </c>
      <c r="D494" s="939">
        <f>+D488</f>
        <v>4783.0078000000003</v>
      </c>
      <c r="E494" s="940">
        <f>B494*D494</f>
        <v>5022.1581900000001</v>
      </c>
      <c r="G494">
        <f>1000+750+350+350</f>
        <v>2450</v>
      </c>
    </row>
    <row r="495" spans="1:7" x14ac:dyDescent="0.2">
      <c r="A495" s="923" t="s">
        <v>628</v>
      </c>
      <c r="B495" s="830">
        <v>1.2</v>
      </c>
      <c r="C495" s="832" t="s">
        <v>122</v>
      </c>
      <c r="D495" s="925">
        <f>+D489</f>
        <v>2522.86</v>
      </c>
      <c r="E495" s="926">
        <f>B495*D495</f>
        <v>3027.4320000000002</v>
      </c>
    </row>
    <row r="496" spans="1:7" x14ac:dyDescent="0.2">
      <c r="A496" s="923" t="s">
        <v>629</v>
      </c>
      <c r="B496" s="835">
        <f>1/0.12</f>
        <v>8.3333333333333339</v>
      </c>
      <c r="C496" s="832" t="s">
        <v>16</v>
      </c>
      <c r="D496" s="925">
        <v>900</v>
      </c>
      <c r="E496" s="926">
        <f>B496*D496</f>
        <v>7500.0000000000009</v>
      </c>
    </row>
    <row r="497" spans="1:6" ht="13.5" thickBot="1" x14ac:dyDescent="0.25">
      <c r="A497" s="927"/>
      <c r="B497" s="928"/>
      <c r="C497" s="928"/>
      <c r="D497" s="929" t="s">
        <v>140</v>
      </c>
      <c r="E497" s="930">
        <f>ROUND(SUM(E494:E496),2)</f>
        <v>15549.59</v>
      </c>
    </row>
    <row r="498" spans="1:6" ht="13.5" thickTop="1" x14ac:dyDescent="0.2">
      <c r="A498" s="931"/>
      <c r="B498" s="931"/>
      <c r="C498" s="931"/>
      <c r="D498" s="931"/>
      <c r="E498" s="931"/>
    </row>
    <row r="499" spans="1:6" s="57" customFormat="1" x14ac:dyDescent="0.2">
      <c r="B499" s="985"/>
      <c r="C499" s="986"/>
      <c r="D499" s="987"/>
      <c r="E499" s="988"/>
      <c r="F499" s="1025"/>
    </row>
    <row r="500" spans="1:6" s="57" customFormat="1" x14ac:dyDescent="0.2">
      <c r="A500" s="989" t="s">
        <v>654</v>
      </c>
      <c r="B500" s="990"/>
      <c r="C500" s="990"/>
      <c r="D500" s="990"/>
      <c r="E500" s="990"/>
      <c r="F500" s="960" t="s">
        <v>153</v>
      </c>
    </row>
    <row r="501" spans="1:6" s="57" customFormat="1" x14ac:dyDescent="0.2">
      <c r="A501" s="990" t="s">
        <v>7</v>
      </c>
      <c r="B501" s="991">
        <v>1</v>
      </c>
      <c r="C501" s="992" t="s">
        <v>25</v>
      </c>
      <c r="D501" s="991">
        <v>200</v>
      </c>
      <c r="E501" s="991">
        <f>+D501*B501</f>
        <v>200</v>
      </c>
      <c r="F501" s="1025"/>
    </row>
    <row r="502" spans="1:6" s="57" customFormat="1" x14ac:dyDescent="0.2">
      <c r="A502" s="990" t="s">
        <v>655</v>
      </c>
      <c r="B502" s="991">
        <f>1.7*1.7*1.3</f>
        <v>3.7569999999999997</v>
      </c>
      <c r="C502" s="992" t="s">
        <v>10</v>
      </c>
      <c r="D502" s="991">
        <v>240.23</v>
      </c>
      <c r="E502" s="991">
        <f t="shared" ref="E502:E519" si="9">+D502*B502</f>
        <v>902.54410999999993</v>
      </c>
      <c r="F502" s="1025"/>
    </row>
    <row r="503" spans="1:6" s="57" customFormat="1" x14ac:dyDescent="0.2">
      <c r="A503" s="990" t="s">
        <v>105</v>
      </c>
      <c r="B503" s="991">
        <v>1.77</v>
      </c>
      <c r="C503" s="992" t="s">
        <v>10</v>
      </c>
      <c r="D503" s="991">
        <v>75</v>
      </c>
      <c r="E503" s="991">
        <f t="shared" si="9"/>
        <v>132.75</v>
      </c>
      <c r="F503" s="1025"/>
    </row>
    <row r="504" spans="1:6" s="57" customFormat="1" x14ac:dyDescent="0.2">
      <c r="A504" s="990" t="s">
        <v>656</v>
      </c>
      <c r="B504" s="991">
        <f>+B502-B503*1.3</f>
        <v>1.4559999999999995</v>
      </c>
      <c r="C504" s="992" t="s">
        <v>10</v>
      </c>
      <c r="D504" s="991">
        <v>90</v>
      </c>
      <c r="E504" s="991">
        <f t="shared" si="9"/>
        <v>131.03999999999996</v>
      </c>
      <c r="F504" s="1025"/>
    </row>
    <row r="505" spans="1:6" s="57" customFormat="1" x14ac:dyDescent="0.2">
      <c r="A505" s="990"/>
      <c r="B505" s="991"/>
      <c r="C505" s="992"/>
      <c r="D505" s="991"/>
      <c r="E505" s="991"/>
      <c r="F505" s="1025"/>
    </row>
    <row r="506" spans="1:6" s="57" customFormat="1" x14ac:dyDescent="0.2">
      <c r="A506" s="989" t="s">
        <v>657</v>
      </c>
      <c r="B506" s="991"/>
      <c r="C506" s="992"/>
      <c r="D506" s="991"/>
      <c r="E506" s="991"/>
      <c r="F506" s="1025"/>
    </row>
    <row r="507" spans="1:6" s="57" customFormat="1" x14ac:dyDescent="0.2">
      <c r="A507" s="720" t="s">
        <v>658</v>
      </c>
      <c r="B507" s="991">
        <v>0.34</v>
      </c>
      <c r="C507" s="992" t="s">
        <v>10</v>
      </c>
      <c r="D507" s="991">
        <f>+E491</f>
        <v>13180.31</v>
      </c>
      <c r="E507" s="991">
        <f t="shared" si="9"/>
        <v>4481.3054000000002</v>
      </c>
      <c r="F507" s="1025"/>
    </row>
    <row r="508" spans="1:6" s="57" customFormat="1" x14ac:dyDescent="0.2">
      <c r="A508" s="720" t="s">
        <v>659</v>
      </c>
      <c r="B508" s="991">
        <v>0.12</v>
      </c>
      <c r="C508" s="992" t="s">
        <v>10</v>
      </c>
      <c r="D508" s="991">
        <f>+E497</f>
        <v>15549.59</v>
      </c>
      <c r="E508" s="991">
        <f t="shared" si="9"/>
        <v>1865.9507999999998</v>
      </c>
      <c r="F508" s="1025"/>
    </row>
    <row r="509" spans="1:6" s="57" customFormat="1" x14ac:dyDescent="0.2">
      <c r="A509" s="990"/>
      <c r="B509" s="991"/>
      <c r="C509" s="992"/>
      <c r="D509" s="991"/>
      <c r="E509" s="991"/>
      <c r="F509" s="1025"/>
    </row>
    <row r="510" spans="1:6" s="57" customFormat="1" x14ac:dyDescent="0.2">
      <c r="A510" s="990" t="s">
        <v>232</v>
      </c>
      <c r="B510" s="991">
        <v>4</v>
      </c>
      <c r="C510" s="992" t="s">
        <v>16</v>
      </c>
      <c r="D510" s="991">
        <f>+E215</f>
        <v>880.51</v>
      </c>
      <c r="E510" s="991">
        <f t="shared" si="9"/>
        <v>3522.04</v>
      </c>
      <c r="F510" s="1025"/>
    </row>
    <row r="511" spans="1:6" s="57" customFormat="1" x14ac:dyDescent="0.2">
      <c r="A511" s="990"/>
      <c r="B511" s="991"/>
      <c r="C511" s="992"/>
      <c r="D511" s="991"/>
      <c r="E511" s="991"/>
      <c r="F511" s="1025"/>
    </row>
    <row r="512" spans="1:6" s="57" customFormat="1" x14ac:dyDescent="0.2">
      <c r="A512" s="990" t="s">
        <v>26</v>
      </c>
      <c r="B512" s="991">
        <v>4</v>
      </c>
      <c r="C512" s="992" t="s">
        <v>16</v>
      </c>
      <c r="D512" s="991">
        <f>+E107</f>
        <v>310.67</v>
      </c>
      <c r="E512" s="991">
        <f t="shared" si="9"/>
        <v>1242.68</v>
      </c>
      <c r="F512" s="1025"/>
    </row>
    <row r="513" spans="1:6" s="57" customFormat="1" x14ac:dyDescent="0.2">
      <c r="A513" s="990" t="s">
        <v>37</v>
      </c>
      <c r="B513" s="991">
        <f>1*1</f>
        <v>1</v>
      </c>
      <c r="C513" s="992" t="s">
        <v>16</v>
      </c>
      <c r="D513" s="991">
        <f>+E130</f>
        <v>472.01</v>
      </c>
      <c r="E513" s="991">
        <f t="shared" si="9"/>
        <v>472.01</v>
      </c>
      <c r="F513" s="1025"/>
    </row>
    <row r="514" spans="1:6" s="57" customFormat="1" x14ac:dyDescent="0.2">
      <c r="A514" s="990" t="s">
        <v>27</v>
      </c>
      <c r="B514" s="991">
        <v>4</v>
      </c>
      <c r="C514" s="992" t="s">
        <v>8</v>
      </c>
      <c r="D514" s="991">
        <f>+E145</f>
        <v>86.54</v>
      </c>
      <c r="E514" s="991">
        <f t="shared" si="9"/>
        <v>346.16</v>
      </c>
      <c r="F514" s="1025"/>
    </row>
    <row r="515" spans="1:6" s="57" customFormat="1" x14ac:dyDescent="0.2">
      <c r="A515" s="990" t="s">
        <v>103</v>
      </c>
      <c r="B515" s="991">
        <v>4</v>
      </c>
      <c r="C515" s="992" t="s">
        <v>16</v>
      </c>
      <c r="D515" s="991">
        <v>121.42</v>
      </c>
      <c r="E515" s="991">
        <f t="shared" si="9"/>
        <v>485.68</v>
      </c>
      <c r="F515" s="1025"/>
    </row>
    <row r="516" spans="1:6" s="57" customFormat="1" x14ac:dyDescent="0.2">
      <c r="A516" s="990"/>
      <c r="B516" s="991"/>
      <c r="C516" s="992"/>
      <c r="D516" s="991"/>
      <c r="E516" s="991"/>
      <c r="F516" s="1025"/>
    </row>
    <row r="517" spans="1:6" s="57" customFormat="1" x14ac:dyDescent="0.2">
      <c r="A517" s="720" t="s">
        <v>660</v>
      </c>
      <c r="B517" s="991">
        <v>1</v>
      </c>
      <c r="C517" s="992" t="s">
        <v>24</v>
      </c>
      <c r="D517" s="991">
        <v>5500</v>
      </c>
      <c r="E517" s="991">
        <f t="shared" si="9"/>
        <v>5500</v>
      </c>
      <c r="F517" s="1025"/>
    </row>
    <row r="518" spans="1:6" s="57" customFormat="1" x14ac:dyDescent="0.2">
      <c r="A518" s="990" t="s">
        <v>661</v>
      </c>
      <c r="B518" s="991">
        <v>1</v>
      </c>
      <c r="C518" s="992" t="s">
        <v>25</v>
      </c>
      <c r="D518" s="991">
        <v>200</v>
      </c>
      <c r="E518" s="991">
        <f t="shared" si="9"/>
        <v>200</v>
      </c>
      <c r="F518" s="1025"/>
    </row>
    <row r="519" spans="1:6" s="57" customFormat="1" x14ac:dyDescent="0.2">
      <c r="A519" s="720" t="s">
        <v>662</v>
      </c>
      <c r="B519" s="991">
        <v>1</v>
      </c>
      <c r="C519" s="993" t="s">
        <v>25</v>
      </c>
      <c r="D519" s="991">
        <v>100</v>
      </c>
      <c r="E519" s="991">
        <f t="shared" si="9"/>
        <v>100</v>
      </c>
      <c r="F519" s="1025"/>
    </row>
    <row r="520" spans="1:6" s="57" customFormat="1" x14ac:dyDescent="0.2">
      <c r="A520" s="990"/>
      <c r="B520" s="991"/>
      <c r="C520" s="994"/>
      <c r="D520" s="994" t="s">
        <v>426</v>
      </c>
      <c r="E520" s="994">
        <f>SUM(E501:E519)</f>
        <v>19582.160309999999</v>
      </c>
      <c r="F520" s="1025"/>
    </row>
    <row r="521" spans="1:6" s="57" customFormat="1" ht="15.75" x14ac:dyDescent="0.25">
      <c r="A521" s="915"/>
      <c r="B521" s="915"/>
      <c r="C521" s="915"/>
      <c r="D521" s="915"/>
      <c r="E521" s="915"/>
      <c r="F521" s="1025"/>
    </row>
    <row r="522" spans="1:6" s="1025" customFormat="1" ht="15.75" x14ac:dyDescent="0.25">
      <c r="A522" s="915"/>
      <c r="B522" s="915"/>
      <c r="C522" s="915"/>
      <c r="D522" s="915"/>
      <c r="E522" s="915"/>
    </row>
    <row r="523" spans="1:6" s="1025" customFormat="1" ht="15.75" x14ac:dyDescent="0.25">
      <c r="A523" s="915"/>
      <c r="B523" s="915"/>
      <c r="C523" s="915"/>
      <c r="D523" s="915"/>
      <c r="E523" s="915"/>
    </row>
    <row r="524" spans="1:6" s="1025" customFormat="1" x14ac:dyDescent="0.2">
      <c r="A524" s="984" t="s">
        <v>688</v>
      </c>
      <c r="B524" s="1024"/>
      <c r="C524" s="1024"/>
      <c r="D524" s="1024"/>
      <c r="E524" s="1024"/>
    </row>
    <row r="525" spans="1:6" s="1025" customFormat="1" x14ac:dyDescent="0.2">
      <c r="A525" s="1024"/>
      <c r="B525" s="1024"/>
      <c r="C525" s="1024"/>
      <c r="D525" s="1024"/>
      <c r="E525" s="1024"/>
    </row>
    <row r="526" spans="1:6" s="1025" customFormat="1" ht="13.5" thickBot="1" x14ac:dyDescent="0.25">
      <c r="A526" s="720" t="s">
        <v>682</v>
      </c>
      <c r="B526" s="962">
        <v>0.2</v>
      </c>
      <c r="C526" s="963"/>
      <c r="D526" s="963"/>
      <c r="E526" s="964"/>
    </row>
    <row r="527" spans="1:6" s="1025" customFormat="1" ht="13.5" thickTop="1" x14ac:dyDescent="0.2">
      <c r="A527" s="965" t="s">
        <v>306</v>
      </c>
      <c r="B527" s="966">
        <v>1.05</v>
      </c>
      <c r="C527" s="967" t="s">
        <v>10</v>
      </c>
      <c r="D527" s="968">
        <f>+D494</f>
        <v>4783.0078000000003</v>
      </c>
      <c r="E527" s="969">
        <f>ROUND(B527*D527,2)</f>
        <v>5022.16</v>
      </c>
    </row>
    <row r="528" spans="1:6" s="1025" customFormat="1" x14ac:dyDescent="0.2">
      <c r="A528" s="970" t="s">
        <v>249</v>
      </c>
      <c r="B528" s="971">
        <v>0.79</v>
      </c>
      <c r="C528" s="972" t="s">
        <v>122</v>
      </c>
      <c r="D528" s="973">
        <f>+D495</f>
        <v>2522.86</v>
      </c>
      <c r="E528" s="974">
        <f>ROUND(B528*D528,2)</f>
        <v>1993.06</v>
      </c>
    </row>
    <row r="529" spans="1:6" s="1025" customFormat="1" x14ac:dyDescent="0.2">
      <c r="A529" s="975" t="s">
        <v>276</v>
      </c>
      <c r="B529" s="976">
        <f>ROUND(1/B526,2)</f>
        <v>5</v>
      </c>
      <c r="C529" s="977" t="s">
        <v>8</v>
      </c>
      <c r="D529" s="978">
        <v>900</v>
      </c>
      <c r="E529" s="974">
        <f>ROUND(B529*D529,2)</f>
        <v>4500</v>
      </c>
    </row>
    <row r="530" spans="1:6" s="1025" customFormat="1" ht="13.5" thickBot="1" x14ac:dyDescent="0.25">
      <c r="A530" s="979"/>
      <c r="B530" s="980"/>
      <c r="C530" s="980"/>
      <c r="D530" s="981" t="s">
        <v>273</v>
      </c>
      <c r="E530" s="982">
        <f>SUM(E527:E529)</f>
        <v>11515.22</v>
      </c>
    </row>
    <row r="531" spans="1:6" s="1025" customFormat="1" ht="13.5" thickTop="1" x14ac:dyDescent="0.2">
      <c r="A531" s="1024"/>
      <c r="B531" s="1024"/>
      <c r="C531" s="1024"/>
      <c r="D531" s="1024"/>
      <c r="E531" s="1024"/>
    </row>
    <row r="532" spans="1:6" s="1025" customFormat="1" ht="13.5" thickBot="1" x14ac:dyDescent="0.25">
      <c r="A532" s="720" t="s">
        <v>683</v>
      </c>
      <c r="B532" s="935"/>
      <c r="C532" s="935"/>
      <c r="D532" s="935"/>
      <c r="E532" s="935"/>
    </row>
    <row r="533" spans="1:6" s="1025" customFormat="1" ht="13.5" thickTop="1" x14ac:dyDescent="0.2">
      <c r="A533" s="936" t="s">
        <v>389</v>
      </c>
      <c r="B533" s="937">
        <v>1.05</v>
      </c>
      <c r="C533" s="938" t="s">
        <v>10</v>
      </c>
      <c r="D533" s="939">
        <f>+D527</f>
        <v>4783.0078000000003</v>
      </c>
      <c r="E533" s="940">
        <f>B533*D533</f>
        <v>5022.1581900000001</v>
      </c>
    </row>
    <row r="534" spans="1:6" s="1025" customFormat="1" x14ac:dyDescent="0.2">
      <c r="A534" s="923" t="s">
        <v>628</v>
      </c>
      <c r="B534" s="830">
        <v>1.58</v>
      </c>
      <c r="C534" s="832" t="s">
        <v>122</v>
      </c>
      <c r="D534" s="925">
        <f>+D528</f>
        <v>2522.86</v>
      </c>
      <c r="E534" s="926">
        <f>B534*D534</f>
        <v>3986.1188000000002</v>
      </c>
    </row>
    <row r="535" spans="1:6" s="1025" customFormat="1" x14ac:dyDescent="0.2">
      <c r="A535" s="923" t="s">
        <v>629</v>
      </c>
      <c r="B535" s="835">
        <f>1/0.12</f>
        <v>8.3333333333333339</v>
      </c>
      <c r="C535" s="832" t="s">
        <v>16</v>
      </c>
      <c r="D535" s="925">
        <v>900</v>
      </c>
      <c r="E535" s="926">
        <f>B535*D535</f>
        <v>7500.0000000000009</v>
      </c>
    </row>
    <row r="536" spans="1:6" s="1025" customFormat="1" ht="13.5" thickBot="1" x14ac:dyDescent="0.25">
      <c r="A536" s="927"/>
      <c r="B536" s="928"/>
      <c r="C536" s="928"/>
      <c r="D536" s="929" t="s">
        <v>140</v>
      </c>
      <c r="E536" s="930">
        <f>ROUND(SUM(E533:E535),2)</f>
        <v>16508.28</v>
      </c>
    </row>
    <row r="537" spans="1:6" s="1025" customFormat="1" ht="16.5" thickTop="1" x14ac:dyDescent="0.25">
      <c r="A537" s="915"/>
      <c r="B537" s="915"/>
      <c r="C537" s="915"/>
      <c r="D537" s="915"/>
      <c r="E537" s="915"/>
    </row>
    <row r="538" spans="1:6" s="1025" customFormat="1" ht="15.75" x14ac:dyDescent="0.25">
      <c r="A538" s="915"/>
      <c r="B538" s="915"/>
      <c r="C538" s="915"/>
      <c r="D538" s="915"/>
      <c r="E538" s="915"/>
    </row>
    <row r="539" spans="1:6" s="57" customFormat="1" x14ac:dyDescent="0.2">
      <c r="A539" s="1025"/>
      <c r="B539" s="985"/>
      <c r="C539" s="986"/>
      <c r="D539" s="987"/>
      <c r="E539" s="988"/>
      <c r="F539" s="1025"/>
    </row>
    <row r="540" spans="1:6" s="1025" customFormat="1" x14ac:dyDescent="0.2">
      <c r="A540" s="989" t="s">
        <v>681</v>
      </c>
      <c r="B540" s="990"/>
      <c r="C540" s="990"/>
      <c r="D540" s="990"/>
      <c r="E540" s="990"/>
    </row>
    <row r="541" spans="1:6" s="1025" customFormat="1" x14ac:dyDescent="0.2">
      <c r="A541" s="990" t="s">
        <v>7</v>
      </c>
      <c r="B541" s="991">
        <v>1</v>
      </c>
      <c r="C541" s="992" t="s">
        <v>25</v>
      </c>
      <c r="D541" s="991">
        <v>200</v>
      </c>
      <c r="E541" s="991">
        <f>+D541*B541</f>
        <v>200</v>
      </c>
    </row>
    <row r="542" spans="1:6" s="1025" customFormat="1" x14ac:dyDescent="0.2">
      <c r="A542" s="990" t="s">
        <v>655</v>
      </c>
      <c r="B542" s="991">
        <v>6.61</v>
      </c>
      <c r="C542" s="992" t="s">
        <v>10</v>
      </c>
      <c r="D542" s="991">
        <v>240.23</v>
      </c>
      <c r="E542" s="991">
        <f t="shared" ref="E542:E544" si="10">+D542*B542</f>
        <v>1587.9203</v>
      </c>
    </row>
    <row r="543" spans="1:6" s="1025" customFormat="1" x14ac:dyDescent="0.2">
      <c r="A543" s="990" t="s">
        <v>105</v>
      </c>
      <c r="B543" s="991">
        <v>1.48</v>
      </c>
      <c r="C543" s="992" t="s">
        <v>10</v>
      </c>
      <c r="D543" s="991">
        <v>75</v>
      </c>
      <c r="E543" s="991">
        <f t="shared" si="10"/>
        <v>111</v>
      </c>
    </row>
    <row r="544" spans="1:6" s="1025" customFormat="1" x14ac:dyDescent="0.2">
      <c r="A544" s="990" t="s">
        <v>656</v>
      </c>
      <c r="B544" s="991">
        <f>+(B542-B543)*1.2</f>
        <v>6.1560000000000006</v>
      </c>
      <c r="C544" s="992" t="s">
        <v>10</v>
      </c>
      <c r="D544" s="991">
        <v>90</v>
      </c>
      <c r="E544" s="991">
        <f t="shared" si="10"/>
        <v>554.04000000000008</v>
      </c>
    </row>
    <row r="545" spans="1:5" s="1025" customFormat="1" x14ac:dyDescent="0.2">
      <c r="A545" s="990"/>
      <c r="B545" s="991"/>
      <c r="C545" s="992"/>
      <c r="D545" s="991"/>
      <c r="E545" s="991"/>
    </row>
    <row r="546" spans="1:5" s="1025" customFormat="1" x14ac:dyDescent="0.2">
      <c r="A546" s="989" t="s">
        <v>657</v>
      </c>
      <c r="B546" s="991"/>
      <c r="C546" s="992"/>
      <c r="D546" s="991"/>
      <c r="E546" s="991"/>
    </row>
    <row r="547" spans="1:5" s="1025" customFormat="1" x14ac:dyDescent="0.2">
      <c r="A547" s="720" t="s">
        <v>682</v>
      </c>
      <c r="B547" s="991">
        <v>0.72</v>
      </c>
      <c r="C547" s="992" t="s">
        <v>10</v>
      </c>
      <c r="D547" s="991">
        <f>+D494</f>
        <v>4783.0078000000003</v>
      </c>
      <c r="E547" s="991">
        <f t="shared" ref="E547:E548" si="11">+D547*B547</f>
        <v>3443.7656160000001</v>
      </c>
    </row>
    <row r="548" spans="1:5" s="1025" customFormat="1" x14ac:dyDescent="0.2">
      <c r="A548" s="720" t="s">
        <v>683</v>
      </c>
      <c r="B548" s="991">
        <v>0.43</v>
      </c>
      <c r="C548" s="992" t="s">
        <v>10</v>
      </c>
      <c r="D548" s="991">
        <f>+D495</f>
        <v>2522.86</v>
      </c>
      <c r="E548" s="991">
        <f t="shared" si="11"/>
        <v>1084.8298</v>
      </c>
    </row>
    <row r="549" spans="1:5" s="1025" customFormat="1" x14ac:dyDescent="0.2">
      <c r="A549" s="990"/>
      <c r="B549" s="991"/>
      <c r="C549" s="992"/>
      <c r="D549" s="991"/>
      <c r="E549" s="991"/>
    </row>
    <row r="550" spans="1:5" s="1025" customFormat="1" x14ac:dyDescent="0.2">
      <c r="A550" s="720" t="s">
        <v>686</v>
      </c>
      <c r="B550" s="991">
        <v>7.34</v>
      </c>
      <c r="C550" s="992" t="s">
        <v>16</v>
      </c>
      <c r="D550" s="991">
        <f>+E216</f>
        <v>1043.6923550000001</v>
      </c>
      <c r="E550" s="991">
        <f t="shared" ref="E550" si="12">+D550*B550</f>
        <v>7660.7018857000012</v>
      </c>
    </row>
    <row r="551" spans="1:5" s="1025" customFormat="1" x14ac:dyDescent="0.2">
      <c r="A551" s="990"/>
      <c r="B551" s="991"/>
      <c r="C551" s="992"/>
      <c r="D551" s="991"/>
      <c r="E551" s="991"/>
    </row>
    <row r="552" spans="1:5" s="1025" customFormat="1" x14ac:dyDescent="0.2">
      <c r="A552" s="720" t="s">
        <v>684</v>
      </c>
      <c r="B552" s="991">
        <v>4.5599999999999996</v>
      </c>
      <c r="C552" s="992" t="s">
        <v>16</v>
      </c>
      <c r="D552" s="991">
        <f>+E107</f>
        <v>310.67</v>
      </c>
      <c r="E552" s="991">
        <f t="shared" ref="E552:E556" si="13">+D552*B552</f>
        <v>1416.6551999999999</v>
      </c>
    </row>
    <row r="553" spans="1:5" s="1025" customFormat="1" x14ac:dyDescent="0.2">
      <c r="A553" s="720" t="s">
        <v>685</v>
      </c>
      <c r="B553" s="991">
        <v>4.4800000000000004</v>
      </c>
      <c r="C553" s="992"/>
      <c r="D553" s="991">
        <f>+E117</f>
        <v>313.58999999999997</v>
      </c>
      <c r="E553" s="991"/>
    </row>
    <row r="554" spans="1:5" s="1025" customFormat="1" x14ac:dyDescent="0.2">
      <c r="A554" s="990" t="s">
        <v>37</v>
      </c>
      <c r="B554" s="991">
        <v>2.25</v>
      </c>
      <c r="C554" s="992" t="s">
        <v>16</v>
      </c>
      <c r="D554" s="991">
        <f>+D513</f>
        <v>472.01</v>
      </c>
      <c r="E554" s="991">
        <f t="shared" si="13"/>
        <v>1062.0225</v>
      </c>
    </row>
    <row r="555" spans="1:5" s="1025" customFormat="1" x14ac:dyDescent="0.2">
      <c r="A555" s="990" t="s">
        <v>27</v>
      </c>
      <c r="B555" s="991">
        <v>8.4</v>
      </c>
      <c r="C555" s="992" t="s">
        <v>8</v>
      </c>
      <c r="D555" s="991">
        <f>+D514</f>
        <v>86.54</v>
      </c>
      <c r="E555" s="991">
        <f t="shared" si="13"/>
        <v>726.93600000000004</v>
      </c>
    </row>
    <row r="556" spans="1:5" s="1025" customFormat="1" x14ac:dyDescent="0.2">
      <c r="A556" s="990" t="s">
        <v>103</v>
      </c>
      <c r="B556" s="991">
        <v>11.04</v>
      </c>
      <c r="C556" s="992" t="s">
        <v>16</v>
      </c>
      <c r="D556" s="991">
        <v>121.42</v>
      </c>
      <c r="E556" s="991">
        <f t="shared" si="13"/>
        <v>1340.4767999999999</v>
      </c>
    </row>
    <row r="557" spans="1:5" s="1025" customFormat="1" x14ac:dyDescent="0.2">
      <c r="A557" s="990"/>
      <c r="B557" s="991"/>
      <c r="C557" s="992"/>
      <c r="D557" s="991"/>
      <c r="E557" s="991"/>
    </row>
    <row r="558" spans="1:5" s="1025" customFormat="1" x14ac:dyDescent="0.2">
      <c r="A558" s="720" t="s">
        <v>687</v>
      </c>
      <c r="B558" s="991">
        <v>1</v>
      </c>
      <c r="C558" s="992" t="s">
        <v>24</v>
      </c>
      <c r="D558" s="991">
        <v>5500</v>
      </c>
      <c r="E558" s="991">
        <f t="shared" ref="E558:E560" si="14">+D558*B558</f>
        <v>5500</v>
      </c>
    </row>
    <row r="559" spans="1:5" s="1025" customFormat="1" x14ac:dyDescent="0.2">
      <c r="A559" s="990" t="s">
        <v>661</v>
      </c>
      <c r="B559" s="991">
        <v>1</v>
      </c>
      <c r="C559" s="992" t="s">
        <v>25</v>
      </c>
      <c r="D559" s="991">
        <v>200</v>
      </c>
      <c r="E559" s="991">
        <f t="shared" si="14"/>
        <v>200</v>
      </c>
    </row>
    <row r="560" spans="1:5" s="1025" customFormat="1" x14ac:dyDescent="0.2">
      <c r="A560" s="720" t="s">
        <v>662</v>
      </c>
      <c r="B560" s="991">
        <v>1</v>
      </c>
      <c r="C560" s="993" t="s">
        <v>25</v>
      </c>
      <c r="D560" s="991">
        <v>100</v>
      </c>
      <c r="E560" s="991">
        <f t="shared" si="14"/>
        <v>100</v>
      </c>
    </row>
    <row r="561" spans="1:6" s="1025" customFormat="1" x14ac:dyDescent="0.2">
      <c r="A561" s="990"/>
      <c r="B561" s="991"/>
      <c r="C561" s="994"/>
      <c r="D561" s="994" t="s">
        <v>426</v>
      </c>
      <c r="E561" s="994">
        <f>SUM(E541:E560)</f>
        <v>24988.348101700005</v>
      </c>
    </row>
    <row r="562" spans="1:6" s="1025" customFormat="1" ht="15.75" x14ac:dyDescent="0.25">
      <c r="A562" s="915"/>
      <c r="B562" s="915"/>
      <c r="C562" s="915"/>
      <c r="D562" s="915"/>
      <c r="E562" s="915"/>
    </row>
    <row r="563" spans="1:6" s="1025" customFormat="1" ht="15.75" x14ac:dyDescent="0.25">
      <c r="A563" s="915"/>
      <c r="B563" s="915"/>
      <c r="C563" s="915"/>
      <c r="D563" s="915"/>
      <c r="E563" s="915"/>
    </row>
    <row r="564" spans="1:6" s="57" customFormat="1" ht="15.75" x14ac:dyDescent="0.25">
      <c r="A564" s="915"/>
      <c r="B564" s="915"/>
      <c r="C564" s="915"/>
      <c r="D564" s="915"/>
      <c r="E564" s="915"/>
      <c r="F564" s="1025"/>
    </row>
    <row r="565" spans="1:6" x14ac:dyDescent="0.2">
      <c r="A565" s="322"/>
      <c r="B565" s="323"/>
      <c r="C565" s="322"/>
      <c r="D565" s="323"/>
      <c r="E565" s="323"/>
    </row>
    <row r="566" spans="1:6" ht="13.5" thickBot="1" x14ac:dyDescent="0.25">
      <c r="A566" s="324" t="s">
        <v>307</v>
      </c>
      <c r="B566" s="270"/>
      <c r="C566" s="270"/>
      <c r="D566" s="270"/>
      <c r="E566" s="271"/>
    </row>
    <row r="567" spans="1:6" ht="13.5" thickTop="1" x14ac:dyDescent="0.2">
      <c r="A567" s="272" t="s">
        <v>275</v>
      </c>
      <c r="B567" s="273">
        <v>1.05</v>
      </c>
      <c r="C567" s="274" t="s">
        <v>10</v>
      </c>
      <c r="D567" s="275">
        <f>E58</f>
        <v>5402.0865999999996</v>
      </c>
      <c r="E567" s="116">
        <f>ROUND(B567*D567,2)</f>
        <v>5672.19</v>
      </c>
    </row>
    <row r="568" spans="1:6" x14ac:dyDescent="0.2">
      <c r="A568" s="276" t="s">
        <v>249</v>
      </c>
      <c r="B568" s="277">
        <v>3.33</v>
      </c>
      <c r="C568" s="278" t="s">
        <v>122</v>
      </c>
      <c r="D568" s="279">
        <f>+E181</f>
        <v>2522.86</v>
      </c>
      <c r="E568" s="106">
        <f>ROUND(B568*D568,2)</f>
        <v>8401.1200000000008</v>
      </c>
    </row>
    <row r="569" spans="1:6" x14ac:dyDescent="0.2">
      <c r="A569" s="280" t="s">
        <v>276</v>
      </c>
      <c r="B569" s="281">
        <v>33.33</v>
      </c>
      <c r="C569" s="282" t="s">
        <v>8</v>
      </c>
      <c r="D569" s="283">
        <v>250</v>
      </c>
      <c r="E569" s="106">
        <f>ROUND(B569*D569,2)</f>
        <v>8332.5</v>
      </c>
    </row>
    <row r="570" spans="1:6" ht="13.5" thickBot="1" x14ac:dyDescent="0.25">
      <c r="A570" s="284"/>
      <c r="B570" s="285"/>
      <c r="C570" s="285"/>
      <c r="D570" s="309" t="s">
        <v>273</v>
      </c>
      <c r="E570" s="287">
        <f>SUM(E567:E569)</f>
        <v>22405.81</v>
      </c>
    </row>
    <row r="571" spans="1:6" ht="13.5" thickTop="1" x14ac:dyDescent="0.2">
      <c r="A571" s="322"/>
      <c r="B571" s="323"/>
      <c r="C571" s="322"/>
      <c r="D571" s="323"/>
      <c r="E571" s="323"/>
    </row>
    <row r="572" spans="1:6" ht="13.5" thickBot="1" x14ac:dyDescent="0.25">
      <c r="A572" s="324" t="s">
        <v>308</v>
      </c>
      <c r="B572" s="270"/>
      <c r="C572" s="270"/>
      <c r="D572" s="270"/>
      <c r="E572" s="271"/>
    </row>
    <row r="573" spans="1:6" ht="13.5" thickTop="1" x14ac:dyDescent="0.2">
      <c r="A573" s="272" t="s">
        <v>306</v>
      </c>
      <c r="B573" s="273">
        <v>1.05</v>
      </c>
      <c r="C573" s="274" t="s">
        <v>10</v>
      </c>
      <c r="D573" s="275">
        <f>E68</f>
        <v>4783.0078000000003</v>
      </c>
      <c r="E573" s="116">
        <f>ROUND(B573*D573,2)</f>
        <v>5022.16</v>
      </c>
    </row>
    <row r="574" spans="1:6" x14ac:dyDescent="0.2">
      <c r="A574" s="276" t="s">
        <v>249</v>
      </c>
      <c r="B574" s="277">
        <v>1.17</v>
      </c>
      <c r="C574" s="278" t="s">
        <v>122</v>
      </c>
      <c r="D574" s="279">
        <f>E175</f>
        <v>2358.2800000000002</v>
      </c>
      <c r="E574" s="106">
        <f>ROUND(B574*D574,2)</f>
        <v>2759.19</v>
      </c>
    </row>
    <row r="575" spans="1:6" x14ac:dyDescent="0.2">
      <c r="A575" s="280" t="s">
        <v>276</v>
      </c>
      <c r="B575" s="281">
        <v>10</v>
      </c>
      <c r="C575" s="282" t="s">
        <v>8</v>
      </c>
      <c r="D575" s="283">
        <v>185</v>
      </c>
      <c r="E575" s="106">
        <f>ROUND(B575*D575,2)</f>
        <v>1850</v>
      </c>
    </row>
    <row r="576" spans="1:6" ht="13.5" thickBot="1" x14ac:dyDescent="0.25">
      <c r="A576" s="284"/>
      <c r="B576" s="285"/>
      <c r="C576" s="285"/>
      <c r="D576" s="309" t="s">
        <v>273</v>
      </c>
      <c r="E576" s="287">
        <f>SUM(E573:E575)</f>
        <v>9631.35</v>
      </c>
    </row>
    <row r="577" spans="1:6" s="1020" customFormat="1" ht="13.5" thickTop="1" x14ac:dyDescent="0.2">
      <c r="A577" s="354"/>
      <c r="B577" s="354"/>
      <c r="C577" s="354"/>
      <c r="D577" s="355"/>
      <c r="E577" s="356"/>
      <c r="F577" s="1025"/>
    </row>
    <row r="578" spans="1:6" s="1485" customFormat="1" x14ac:dyDescent="0.2">
      <c r="A578" s="1510" t="s">
        <v>846</v>
      </c>
      <c r="B578" s="1509"/>
      <c r="C578" s="1509"/>
      <c r="D578" s="1509"/>
      <c r="E578" s="1509"/>
      <c r="F578" s="1025"/>
    </row>
    <row r="579" spans="1:6" s="1485" customFormat="1" x14ac:dyDescent="0.2">
      <c r="A579" s="354"/>
      <c r="B579" s="354"/>
      <c r="C579" s="354"/>
      <c r="D579" s="355"/>
      <c r="E579" s="356"/>
      <c r="F579" s="1025"/>
    </row>
    <row r="580" spans="1:6" s="1485" customFormat="1" ht="25.5" x14ac:dyDescent="0.2">
      <c r="A580" s="1508" t="s">
        <v>847</v>
      </c>
      <c r="B580" s="1507"/>
      <c r="C580" s="1507"/>
      <c r="D580" s="1506"/>
      <c r="E580" s="1506"/>
      <c r="F580" s="1025"/>
    </row>
    <row r="581" spans="1:6" s="1485" customFormat="1" x14ac:dyDescent="0.2">
      <c r="A581" s="1507" t="s">
        <v>508</v>
      </c>
      <c r="B581" s="1505">
        <v>1.05</v>
      </c>
      <c r="C581" s="1504" t="s">
        <v>10</v>
      </c>
      <c r="D581" s="1506">
        <f>+D289</f>
        <v>5402.0865999999996</v>
      </c>
      <c r="E581" s="1506">
        <f>+B581*D581</f>
        <v>5672.1909299999998</v>
      </c>
      <c r="F581" s="1025"/>
    </row>
    <row r="582" spans="1:6" s="1485" customFormat="1" x14ac:dyDescent="0.2">
      <c r="A582" s="1507" t="s">
        <v>628</v>
      </c>
      <c r="B582" s="1505">
        <v>4.57</v>
      </c>
      <c r="C582" s="1503" t="s">
        <v>122</v>
      </c>
      <c r="D582" s="1506">
        <f>+D568</f>
        <v>2522.86</v>
      </c>
      <c r="E582" s="1506">
        <f t="shared" ref="E582:E583" si="15">+B582*D582</f>
        <v>11529.470200000002</v>
      </c>
      <c r="F582" s="1025"/>
    </row>
    <row r="583" spans="1:6" s="1485" customFormat="1" x14ac:dyDescent="0.2">
      <c r="A583" s="1507" t="s">
        <v>629</v>
      </c>
      <c r="B583" s="1505">
        <v>8.8800000000000008</v>
      </c>
      <c r="C583" s="1503" t="s">
        <v>15</v>
      </c>
      <c r="D583" s="1506">
        <v>370</v>
      </c>
      <c r="E583" s="1506">
        <f t="shared" si="15"/>
        <v>3285.6000000000004</v>
      </c>
      <c r="F583" s="1025"/>
    </row>
    <row r="584" spans="1:6" s="1485" customFormat="1" x14ac:dyDescent="0.2">
      <c r="A584" s="1507"/>
      <c r="B584" s="1507"/>
      <c r="C584" s="1507"/>
      <c r="D584" s="1502" t="s">
        <v>140</v>
      </c>
      <c r="E584" s="1501">
        <f>SUM(E581:E583)</f>
        <v>20487.261129999999</v>
      </c>
      <c r="F584" s="1025"/>
    </row>
    <row r="585" spans="1:6" s="1485" customFormat="1" x14ac:dyDescent="0.2">
      <c r="A585" s="1507"/>
      <c r="B585" s="1507"/>
      <c r="C585" s="1507"/>
      <c r="D585" s="1502"/>
      <c r="E585" s="1502"/>
      <c r="F585" s="1025"/>
    </row>
    <row r="586" spans="1:6" s="1485" customFormat="1" x14ac:dyDescent="0.2">
      <c r="A586" s="1500" t="s">
        <v>849</v>
      </c>
      <c r="B586" s="1507"/>
      <c r="C586" s="1507"/>
      <c r="D586" s="1506"/>
      <c r="E586" s="1506"/>
      <c r="F586" s="1025"/>
    </row>
    <row r="587" spans="1:6" s="1485" customFormat="1" x14ac:dyDescent="0.2">
      <c r="A587" s="1507" t="s">
        <v>508</v>
      </c>
      <c r="B587" s="1505">
        <v>1.05</v>
      </c>
      <c r="C587" s="1504" t="s">
        <v>10</v>
      </c>
      <c r="D587" s="1506">
        <f>+D581</f>
        <v>5402.0865999999996</v>
      </c>
      <c r="E587" s="1506">
        <f>+B587*D587</f>
        <v>5672.1909299999998</v>
      </c>
      <c r="F587" s="1025"/>
    </row>
    <row r="588" spans="1:6" s="1485" customFormat="1" x14ac:dyDescent="0.2">
      <c r="A588" s="1507" t="s">
        <v>628</v>
      </c>
      <c r="B588" s="1505">
        <v>1.37</v>
      </c>
      <c r="C588" s="1503" t="s">
        <v>122</v>
      </c>
      <c r="D588" s="1506">
        <f>+D582</f>
        <v>2522.86</v>
      </c>
      <c r="E588" s="1506">
        <f>+B588*D588</f>
        <v>3456.3182000000006</v>
      </c>
      <c r="F588" s="1025"/>
    </row>
    <row r="589" spans="1:6" s="1485" customFormat="1" x14ac:dyDescent="0.2">
      <c r="A589" s="1507" t="s">
        <v>629</v>
      </c>
      <c r="B589" s="1505"/>
      <c r="C589" s="1503" t="s">
        <v>16</v>
      </c>
      <c r="D589" s="1506"/>
      <c r="E589" s="1506">
        <v>0</v>
      </c>
      <c r="F589" s="1025"/>
    </row>
    <row r="590" spans="1:6" s="1485" customFormat="1" x14ac:dyDescent="0.2">
      <c r="A590" s="1507"/>
      <c r="B590" s="1507"/>
      <c r="C590" s="1507"/>
      <c r="D590" s="1502" t="s">
        <v>140</v>
      </c>
      <c r="E590" s="1499">
        <f>SUM(E587:E589)</f>
        <v>9128.5091300000004</v>
      </c>
      <c r="F590" s="1025"/>
    </row>
    <row r="591" spans="1:6" s="1485" customFormat="1" x14ac:dyDescent="0.2">
      <c r="A591" s="1507"/>
      <c r="B591" s="1507"/>
      <c r="C591" s="1507"/>
      <c r="D591" s="1506"/>
      <c r="E591" s="1506"/>
      <c r="F591" s="1025"/>
    </row>
    <row r="592" spans="1:6" s="1485" customFormat="1" x14ac:dyDescent="0.2">
      <c r="A592" s="1508" t="s">
        <v>848</v>
      </c>
      <c r="B592" s="1507"/>
      <c r="C592" s="1507"/>
      <c r="D592" s="1506"/>
      <c r="E592" s="1506"/>
      <c r="F592" s="1025"/>
    </row>
    <row r="593" spans="1:6" s="1485" customFormat="1" x14ac:dyDescent="0.2">
      <c r="A593" s="1507" t="s">
        <v>508</v>
      </c>
      <c r="B593" s="1505">
        <v>1.05</v>
      </c>
      <c r="C593" s="1504" t="s">
        <v>10</v>
      </c>
      <c r="D593" s="1506">
        <f>+D587</f>
        <v>5402.0865999999996</v>
      </c>
      <c r="E593" s="1506">
        <f>+B593*D593</f>
        <v>5672.1909299999998</v>
      </c>
      <c r="F593" s="1025"/>
    </row>
    <row r="594" spans="1:6" s="1485" customFormat="1" x14ac:dyDescent="0.2">
      <c r="A594" s="1507" t="s">
        <v>628</v>
      </c>
      <c r="B594" s="1505">
        <v>1.65</v>
      </c>
      <c r="C594" s="1503" t="s">
        <v>122</v>
      </c>
      <c r="D594" s="1506">
        <f>+D588</f>
        <v>2522.86</v>
      </c>
      <c r="E594" s="1506">
        <f t="shared" ref="E594:E595" si="16">+B594*D594</f>
        <v>4162.7190000000001</v>
      </c>
      <c r="F594" s="1025"/>
    </row>
    <row r="595" spans="1:6" s="1485" customFormat="1" x14ac:dyDescent="0.2">
      <c r="A595" s="1507" t="s">
        <v>629</v>
      </c>
      <c r="B595" s="1505">
        <v>7.15</v>
      </c>
      <c r="C595" s="1503" t="s">
        <v>16</v>
      </c>
      <c r="D595" s="1506">
        <v>315</v>
      </c>
      <c r="E595" s="1506">
        <f t="shared" si="16"/>
        <v>2252.25</v>
      </c>
      <c r="F595" s="1025"/>
    </row>
    <row r="596" spans="1:6" s="1485" customFormat="1" x14ac:dyDescent="0.2">
      <c r="A596" s="1507"/>
      <c r="B596" s="1507"/>
      <c r="C596" s="1507"/>
      <c r="D596" s="1502" t="s">
        <v>140</v>
      </c>
      <c r="E596" s="1499">
        <f>SUM(E593:E595)</f>
        <v>12087.15993</v>
      </c>
      <c r="F596" s="1025"/>
    </row>
    <row r="597" spans="1:6" s="1485" customFormat="1" x14ac:dyDescent="0.2">
      <c r="A597" s="1507"/>
      <c r="B597" s="1507"/>
      <c r="C597" s="1507"/>
      <c r="D597" s="1506"/>
      <c r="E597" s="1506"/>
      <c r="F597" s="1025"/>
    </row>
    <row r="598" spans="1:6" s="1485" customFormat="1" x14ac:dyDescent="0.2">
      <c r="A598" s="1498"/>
      <c r="B598" s="1498"/>
      <c r="C598" s="1498"/>
      <c r="D598" s="1497"/>
      <c r="E598" s="1496"/>
      <c r="F598" s="1025"/>
    </row>
    <row r="599" spans="1:6" s="1485" customFormat="1" x14ac:dyDescent="0.2">
      <c r="A599" s="1498"/>
      <c r="B599" s="1498"/>
      <c r="C599" s="1498"/>
      <c r="D599" s="1497"/>
      <c r="E599" s="1496"/>
      <c r="F599" s="1025"/>
    </row>
    <row r="600" spans="1:6" s="1485" customFormat="1" x14ac:dyDescent="0.2">
      <c r="A600" s="1500" t="s">
        <v>850</v>
      </c>
      <c r="B600" s="1507"/>
      <c r="C600" s="1507"/>
      <c r="D600" s="1507"/>
      <c r="E600" s="1507"/>
      <c r="F600" s="1025"/>
    </row>
    <row r="601" spans="1:6" s="1485" customFormat="1" x14ac:dyDescent="0.2">
      <c r="A601" s="1507" t="s">
        <v>508</v>
      </c>
      <c r="B601" s="1505">
        <v>1.05</v>
      </c>
      <c r="C601" s="1504" t="s">
        <v>10</v>
      </c>
      <c r="D601" s="1506">
        <f>+D593</f>
        <v>5402.0865999999996</v>
      </c>
      <c r="E601" s="1506">
        <v>6098.8515000000007</v>
      </c>
      <c r="F601" s="1025"/>
    </row>
    <row r="602" spans="1:6" s="1485" customFormat="1" x14ac:dyDescent="0.2">
      <c r="A602" s="1507" t="s">
        <v>628</v>
      </c>
      <c r="B602" s="1505">
        <v>0.98</v>
      </c>
      <c r="C602" s="1503" t="s">
        <v>122</v>
      </c>
      <c r="D602" s="1506">
        <f>+D594</f>
        <v>2522.86</v>
      </c>
      <c r="E602" s="1506">
        <v>2566.4828000000002</v>
      </c>
      <c r="F602" s="1025"/>
    </row>
    <row r="603" spans="1:6" s="1485" customFormat="1" x14ac:dyDescent="0.2">
      <c r="A603" s="1507" t="s">
        <v>629</v>
      </c>
      <c r="B603" s="1505"/>
      <c r="C603" s="1503" t="s">
        <v>15</v>
      </c>
      <c r="D603" s="1506"/>
      <c r="E603" s="1506">
        <v>0</v>
      </c>
      <c r="F603" s="1025"/>
    </row>
    <row r="604" spans="1:6" s="1485" customFormat="1" x14ac:dyDescent="0.2">
      <c r="A604" s="1507"/>
      <c r="B604" s="1507"/>
      <c r="C604" s="1507"/>
      <c r="D604" s="1502" t="s">
        <v>140</v>
      </c>
      <c r="E604" s="1499">
        <v>8665.3343000000004</v>
      </c>
      <c r="F604" s="1025"/>
    </row>
    <row r="605" spans="1:6" s="1485" customFormat="1" x14ac:dyDescent="0.2">
      <c r="A605" s="1500"/>
      <c r="B605" s="1507"/>
      <c r="C605" s="1507"/>
      <c r="D605" s="1506"/>
      <c r="E605" s="1506"/>
      <c r="F605" s="1025"/>
    </row>
    <row r="606" spans="1:6" s="1485" customFormat="1" x14ac:dyDescent="0.2">
      <c r="A606" s="1500" t="s">
        <v>851</v>
      </c>
      <c r="B606" s="1507"/>
      <c r="C606" s="1507"/>
      <c r="D606" s="1506"/>
      <c r="E606" s="1506"/>
      <c r="F606" s="1025"/>
    </row>
    <row r="607" spans="1:6" s="1485" customFormat="1" x14ac:dyDescent="0.2">
      <c r="A607" s="1507" t="s">
        <v>508</v>
      </c>
      <c r="B607" s="1505">
        <v>1.05</v>
      </c>
      <c r="C607" s="1504" t="s">
        <v>10</v>
      </c>
      <c r="D607" s="1506">
        <f>+D593</f>
        <v>5402.0865999999996</v>
      </c>
      <c r="E607" s="1506">
        <v>6098.8515000000007</v>
      </c>
      <c r="F607" s="1025"/>
    </row>
    <row r="608" spans="1:6" s="1485" customFormat="1" x14ac:dyDescent="0.2">
      <c r="A608" s="1507" t="s">
        <v>628</v>
      </c>
      <c r="B608" s="1505">
        <v>2.8</v>
      </c>
      <c r="C608" s="1503" t="s">
        <v>122</v>
      </c>
      <c r="D608" s="1506">
        <f>+D602</f>
        <v>2522.86</v>
      </c>
      <c r="E608" s="1506">
        <v>7332.808</v>
      </c>
      <c r="F608" s="1025"/>
    </row>
    <row r="609" spans="1:6" s="1485" customFormat="1" x14ac:dyDescent="0.2">
      <c r="A609" s="1507"/>
      <c r="B609" s="1507"/>
      <c r="C609" s="1507"/>
      <c r="D609" s="1502" t="s">
        <v>140</v>
      </c>
      <c r="E609" s="1501">
        <v>13431.659500000002</v>
      </c>
      <c r="F609" s="1025"/>
    </row>
    <row r="610" spans="1:6" s="1485" customFormat="1" x14ac:dyDescent="0.2">
      <c r="A610" s="1500"/>
      <c r="B610" s="1507"/>
      <c r="C610" s="1507"/>
      <c r="D610" s="1502"/>
      <c r="E610" s="1502"/>
      <c r="F610" s="1025"/>
    </row>
    <row r="611" spans="1:6" s="1485" customFormat="1" x14ac:dyDescent="0.2">
      <c r="A611" s="1500" t="s">
        <v>852</v>
      </c>
      <c r="B611" s="1507"/>
      <c r="C611" s="1507"/>
      <c r="D611" s="1506"/>
      <c r="E611" s="1506"/>
      <c r="F611" s="1025"/>
    </row>
    <row r="612" spans="1:6" s="1485" customFormat="1" x14ac:dyDescent="0.2">
      <c r="A612" s="1507" t="s">
        <v>508</v>
      </c>
      <c r="B612" s="1505">
        <v>1.05</v>
      </c>
      <c r="C612" s="1504" t="s">
        <v>10</v>
      </c>
      <c r="D612" s="1506">
        <f>+D607</f>
        <v>5402.0865999999996</v>
      </c>
      <c r="E612" s="1506">
        <v>6098.8515000000007</v>
      </c>
      <c r="F612" s="1025"/>
    </row>
    <row r="613" spans="1:6" s="1485" customFormat="1" x14ac:dyDescent="0.2">
      <c r="A613" s="1507" t="s">
        <v>628</v>
      </c>
      <c r="B613" s="1505">
        <v>2.91</v>
      </c>
      <c r="C613" s="1503" t="s">
        <v>122</v>
      </c>
      <c r="D613" s="1506">
        <f>+D608</f>
        <v>2522.86</v>
      </c>
      <c r="E613" s="1506">
        <v>7620.8826000000008</v>
      </c>
      <c r="F613" s="1025"/>
    </row>
    <row r="614" spans="1:6" s="1485" customFormat="1" x14ac:dyDescent="0.2">
      <c r="A614" s="1507" t="s">
        <v>629</v>
      </c>
      <c r="B614" s="1505">
        <v>0</v>
      </c>
      <c r="C614" s="1503" t="s">
        <v>15</v>
      </c>
      <c r="D614" s="1506">
        <v>300</v>
      </c>
      <c r="E614" s="1506">
        <v>0</v>
      </c>
      <c r="F614" s="1025"/>
    </row>
    <row r="615" spans="1:6" s="1485" customFormat="1" x14ac:dyDescent="0.2">
      <c r="A615" s="1507"/>
      <c r="B615" s="1507"/>
      <c r="C615" s="1507"/>
      <c r="D615" s="1502" t="s">
        <v>140</v>
      </c>
      <c r="E615" s="1501">
        <v>13719.734100000001</v>
      </c>
      <c r="F615" s="1025"/>
    </row>
    <row r="616" spans="1:6" s="1485" customFormat="1" x14ac:dyDescent="0.2">
      <c r="A616" s="1500"/>
      <c r="B616" s="1507"/>
      <c r="C616" s="1507"/>
      <c r="D616" s="1502"/>
      <c r="E616" s="1502"/>
      <c r="F616" s="1025"/>
    </row>
    <row r="617" spans="1:6" s="1485" customFormat="1" x14ac:dyDescent="0.2">
      <c r="A617" s="1500" t="s">
        <v>853</v>
      </c>
      <c r="B617" s="1507"/>
      <c r="C617" s="1507"/>
      <c r="D617" s="1506"/>
      <c r="E617" s="1506"/>
      <c r="F617" s="1025"/>
    </row>
    <row r="618" spans="1:6" s="1485" customFormat="1" x14ac:dyDescent="0.2">
      <c r="A618" s="1507" t="s">
        <v>508</v>
      </c>
      <c r="B618" s="1505">
        <v>1.05</v>
      </c>
      <c r="C618" s="1504" t="s">
        <v>10</v>
      </c>
      <c r="D618" s="1506">
        <f>+D612</f>
        <v>5402.0865999999996</v>
      </c>
      <c r="E618" s="1506">
        <v>6098.8515000000007</v>
      </c>
      <c r="F618" s="1025"/>
    </row>
    <row r="619" spans="1:6" s="1485" customFormat="1" x14ac:dyDescent="0.2">
      <c r="A619" s="1507" t="s">
        <v>628</v>
      </c>
      <c r="B619" s="1505">
        <v>3.68</v>
      </c>
      <c r="C619" s="1503" t="s">
        <v>122</v>
      </c>
      <c r="D619" s="1506">
        <f>+D613</f>
        <v>2522.86</v>
      </c>
      <c r="E619" s="1506">
        <v>9637.4048000000003</v>
      </c>
      <c r="F619" s="1025"/>
    </row>
    <row r="620" spans="1:6" s="1485" customFormat="1" x14ac:dyDescent="0.2">
      <c r="A620" s="1507" t="s">
        <v>629</v>
      </c>
      <c r="B620" s="1505">
        <v>4</v>
      </c>
      <c r="C620" s="1503" t="s">
        <v>16</v>
      </c>
      <c r="D620" s="1506">
        <v>914.02</v>
      </c>
      <c r="E620" s="1506">
        <v>3656.08</v>
      </c>
      <c r="F620" s="1025"/>
    </row>
    <row r="621" spans="1:6" s="1485" customFormat="1" x14ac:dyDescent="0.2">
      <c r="A621" s="1507"/>
      <c r="B621" s="1507"/>
      <c r="C621" s="1507"/>
      <c r="D621" s="1502" t="s">
        <v>140</v>
      </c>
      <c r="E621" s="1501">
        <v>19392.336300000003</v>
      </c>
      <c r="F621" s="1025"/>
    </row>
    <row r="622" spans="1:6" s="1485" customFormat="1" x14ac:dyDescent="0.2">
      <c r="A622" s="1507"/>
      <c r="B622" s="1507"/>
      <c r="C622" s="1507"/>
      <c r="D622" s="1502"/>
      <c r="E622" s="1502"/>
      <c r="F622" s="1025"/>
    </row>
    <row r="623" spans="1:6" s="1485" customFormat="1" x14ac:dyDescent="0.2">
      <c r="A623" s="1500" t="s">
        <v>854</v>
      </c>
      <c r="B623" s="1507"/>
      <c r="C623" s="1507"/>
      <c r="D623" s="1506"/>
      <c r="E623" s="1506"/>
      <c r="F623" s="1025"/>
    </row>
    <row r="624" spans="1:6" s="1020" customFormat="1" x14ac:dyDescent="0.2">
      <c r="A624" s="1507" t="s">
        <v>508</v>
      </c>
      <c r="B624" s="1505">
        <v>1.05</v>
      </c>
      <c r="C624" s="1504" t="s">
        <v>10</v>
      </c>
      <c r="D624" s="1506">
        <f>+D618</f>
        <v>5402.0865999999996</v>
      </c>
      <c r="E624" s="1506">
        <v>6098.8515000000007</v>
      </c>
      <c r="F624" s="1025"/>
    </row>
    <row r="625" spans="1:6" s="57" customFormat="1" x14ac:dyDescent="0.2">
      <c r="A625" s="1507" t="s">
        <v>249</v>
      </c>
      <c r="B625" s="1505">
        <v>4.12</v>
      </c>
      <c r="C625" s="1503" t="s">
        <v>122</v>
      </c>
      <c r="D625" s="1506">
        <f>+D619</f>
        <v>2522.86</v>
      </c>
      <c r="E625" s="1506">
        <v>10789.7032</v>
      </c>
      <c r="F625" s="1025"/>
    </row>
    <row r="626" spans="1:6" s="1020" customFormat="1" x14ac:dyDescent="0.2">
      <c r="A626" s="1507" t="s">
        <v>281</v>
      </c>
      <c r="B626" s="1505">
        <v>8.1632653061224509</v>
      </c>
      <c r="C626" s="1503" t="s">
        <v>15</v>
      </c>
      <c r="D626" s="1506">
        <v>414.97</v>
      </c>
      <c r="E626" s="1506">
        <v>3387.5102040816337</v>
      </c>
      <c r="F626" s="1025"/>
    </row>
    <row r="627" spans="1:6" s="1020" customFormat="1" x14ac:dyDescent="0.2">
      <c r="A627" s="1507"/>
      <c r="B627" s="1507"/>
      <c r="C627" s="1507"/>
      <c r="D627" s="1502" t="s">
        <v>140</v>
      </c>
      <c r="E627" s="1501">
        <v>20276.064904081635</v>
      </c>
      <c r="F627" s="1025"/>
    </row>
    <row r="628" spans="1:6" s="1020" customFormat="1" x14ac:dyDescent="0.2">
      <c r="A628" s="1507"/>
      <c r="B628" s="1507"/>
      <c r="C628" s="1507"/>
      <c r="D628" s="1506"/>
      <c r="E628" s="1506"/>
      <c r="F628" s="1025"/>
    </row>
    <row r="629" spans="1:6" s="1020" customFormat="1" x14ac:dyDescent="0.2">
      <c r="A629" s="1500" t="s">
        <v>855</v>
      </c>
      <c r="B629" s="1507"/>
      <c r="C629" s="1507"/>
      <c r="D629" s="1506"/>
      <c r="E629" s="1506"/>
      <c r="F629" s="1025"/>
    </row>
    <row r="630" spans="1:6" s="1020" customFormat="1" x14ac:dyDescent="0.2">
      <c r="A630" s="1507" t="s">
        <v>508</v>
      </c>
      <c r="B630" s="1505">
        <v>1.05</v>
      </c>
      <c r="C630" s="1504" t="s">
        <v>10</v>
      </c>
      <c r="D630" s="1506">
        <v>5808.43</v>
      </c>
      <c r="E630" s="1506">
        <v>6098.8515000000007</v>
      </c>
      <c r="F630" s="1025"/>
    </row>
    <row r="631" spans="1:6" s="1020" customFormat="1" x14ac:dyDescent="0.2">
      <c r="A631" s="1507" t="s">
        <v>249</v>
      </c>
      <c r="B631" s="1505">
        <v>3.97</v>
      </c>
      <c r="C631" s="1503" t="s">
        <v>122</v>
      </c>
      <c r="D631" s="1506">
        <v>2618.86</v>
      </c>
      <c r="E631" s="1506">
        <v>10396.8742</v>
      </c>
      <c r="F631" s="1025"/>
    </row>
    <row r="632" spans="1:6" s="1020" customFormat="1" x14ac:dyDescent="0.2">
      <c r="A632" s="1507" t="s">
        <v>281</v>
      </c>
      <c r="B632" s="1505">
        <v>8.1632653061224509</v>
      </c>
      <c r="C632" s="1503" t="s">
        <v>15</v>
      </c>
      <c r="D632" s="1506">
        <v>414.97</v>
      </c>
      <c r="E632" s="1506">
        <v>3387.5102040816337</v>
      </c>
      <c r="F632" s="1025"/>
    </row>
    <row r="633" spans="1:6" s="1020" customFormat="1" x14ac:dyDescent="0.2">
      <c r="A633" s="1507"/>
      <c r="B633" s="1507"/>
      <c r="C633" s="1507"/>
      <c r="D633" s="1502" t="s">
        <v>140</v>
      </c>
      <c r="E633" s="1501">
        <v>19883.235904081637</v>
      </c>
      <c r="F633" s="1025"/>
    </row>
    <row r="634" spans="1:6" s="1020" customFormat="1" x14ac:dyDescent="0.2">
      <c r="A634" s="1495" t="s">
        <v>281</v>
      </c>
      <c r="B634" s="1494">
        <f>1/0.2*0.3</f>
        <v>1.5</v>
      </c>
      <c r="C634" s="1493" t="s">
        <v>15</v>
      </c>
      <c r="D634" s="1492">
        <v>350</v>
      </c>
      <c r="E634" s="1491">
        <f>B634*D634</f>
        <v>525</v>
      </c>
      <c r="F634" s="1025"/>
    </row>
    <row r="635" spans="1:6" s="1020" customFormat="1" ht="13.5" thickBot="1" x14ac:dyDescent="0.25">
      <c r="A635" s="1490"/>
      <c r="B635" s="1489"/>
      <c r="C635" s="1489"/>
      <c r="D635" s="1488" t="s">
        <v>140</v>
      </c>
      <c r="E635" s="1487">
        <f>ROUND(SUM(E632:E634),2)</f>
        <v>23795.75</v>
      </c>
      <c r="F635" s="1025"/>
    </row>
    <row r="636" spans="1:6" s="1020" customFormat="1" ht="13.5" thickTop="1" x14ac:dyDescent="0.2">
      <c r="F636" s="1025"/>
    </row>
    <row r="637" spans="1:6" s="1020" customFormat="1" x14ac:dyDescent="0.2">
      <c r="F637" s="1025"/>
    </row>
    <row r="638" spans="1:6" s="1020" customFormat="1" x14ac:dyDescent="0.2">
      <c r="A638" s="931"/>
      <c r="B638" s="931"/>
      <c r="C638" s="931"/>
      <c r="D638" s="931"/>
      <c r="E638" s="931"/>
      <c r="F638" s="1025"/>
    </row>
    <row r="639" spans="1:6" s="1022" customFormat="1" x14ac:dyDescent="0.2">
      <c r="A639" s="1601" t="s">
        <v>680</v>
      </c>
      <c r="B639" s="1602"/>
      <c r="C639" s="1390"/>
      <c r="D639" s="1390"/>
      <c r="E639" s="1390"/>
      <c r="F639" s="1025"/>
    </row>
    <row r="640" spans="1:6" s="1022" customFormat="1" ht="13.5" thickBot="1" x14ac:dyDescent="0.25">
      <c r="A640" s="952" t="s">
        <v>620</v>
      </c>
      <c r="B640" s="1390"/>
      <c r="C640" s="1390"/>
      <c r="D640" s="1390"/>
      <c r="E640" s="1390"/>
      <c r="F640" s="1025"/>
    </row>
    <row r="641" spans="1:6" s="1022" customFormat="1" ht="13.5" thickTop="1" x14ac:dyDescent="0.2">
      <c r="A641" s="1391" t="s">
        <v>389</v>
      </c>
      <c r="B641" s="1392">
        <v>1.05</v>
      </c>
      <c r="C641" s="1393" t="s">
        <v>10</v>
      </c>
      <c r="D641" s="1394">
        <f>+D494</f>
        <v>4783.0078000000003</v>
      </c>
      <c r="E641" s="1395">
        <f>B641*D641</f>
        <v>5022.1581900000001</v>
      </c>
      <c r="F641" s="1025"/>
    </row>
    <row r="642" spans="1:6" s="1022" customFormat="1" x14ac:dyDescent="0.2">
      <c r="A642" s="1396" t="s">
        <v>249</v>
      </c>
      <c r="B642" s="1397">
        <v>0.81</v>
      </c>
      <c r="C642" s="1398" t="s">
        <v>122</v>
      </c>
      <c r="D642" s="1399">
        <f>+D568</f>
        <v>2522.86</v>
      </c>
      <c r="E642" s="1400">
        <f>B642*D642</f>
        <v>2043.5166000000002</v>
      </c>
      <c r="F642" s="1025"/>
    </row>
    <row r="643" spans="1:6" s="1022" customFormat="1" ht="13.5" thickBot="1" x14ac:dyDescent="0.25">
      <c r="A643" s="1401"/>
      <c r="B643" s="1402"/>
      <c r="C643" s="1402"/>
      <c r="D643" s="1403" t="s">
        <v>140</v>
      </c>
      <c r="E643" s="1404">
        <f>ROUND(SUM(E641:E642),2)</f>
        <v>7065.67</v>
      </c>
      <c r="F643" s="1025"/>
    </row>
    <row r="644" spans="1:6" s="1022" customFormat="1" ht="13.5" thickTop="1" x14ac:dyDescent="0.2">
      <c r="A644" s="931"/>
      <c r="B644" s="931"/>
      <c r="C644" s="931"/>
      <c r="D644" s="931"/>
      <c r="E644" s="931"/>
      <c r="F644" s="1025"/>
    </row>
    <row r="645" spans="1:6" s="1022" customFormat="1" ht="13.5" thickBot="1" x14ac:dyDescent="0.25">
      <c r="A645" s="952" t="s">
        <v>621</v>
      </c>
      <c r="B645" s="1405"/>
      <c r="C645" s="1405"/>
      <c r="D645" s="1405"/>
      <c r="E645" s="1405"/>
      <c r="F645" s="1025"/>
    </row>
    <row r="646" spans="1:6" s="1022" customFormat="1" ht="13.5" thickTop="1" x14ac:dyDescent="0.2">
      <c r="A646" s="1391" t="s">
        <v>389</v>
      </c>
      <c r="B646" s="1392">
        <v>1.05</v>
      </c>
      <c r="C646" s="1393" t="s">
        <v>10</v>
      </c>
      <c r="D646" s="1394">
        <f>+D641</f>
        <v>4783.0078000000003</v>
      </c>
      <c r="E646" s="1395">
        <f>B646*D646</f>
        <v>5022.1581900000001</v>
      </c>
      <c r="F646" s="1025"/>
    </row>
    <row r="647" spans="1:6" s="1022" customFormat="1" x14ac:dyDescent="0.2">
      <c r="A647" s="1396" t="s">
        <v>249</v>
      </c>
      <c r="B647" s="1406">
        <v>4.57</v>
      </c>
      <c r="C647" s="1398" t="s">
        <v>122</v>
      </c>
      <c r="D647" s="1399">
        <f>+D642</f>
        <v>2522.86</v>
      </c>
      <c r="E647" s="1400">
        <f>B647*D647</f>
        <v>11529.470200000002</v>
      </c>
      <c r="F647" s="1025"/>
    </row>
    <row r="648" spans="1:6" s="1022" customFormat="1" x14ac:dyDescent="0.2">
      <c r="A648" s="1396" t="s">
        <v>281</v>
      </c>
      <c r="B648" s="1397">
        <f>1/0.15*0.15</f>
        <v>1</v>
      </c>
      <c r="C648" s="1407" t="s">
        <v>15</v>
      </c>
      <c r="D648" s="1399">
        <v>350</v>
      </c>
      <c r="E648" s="1400">
        <f>B648*D648</f>
        <v>350</v>
      </c>
      <c r="F648" s="1025"/>
    </row>
    <row r="649" spans="1:6" s="1022" customFormat="1" ht="13.5" thickBot="1" x14ac:dyDescent="0.25">
      <c r="A649" s="1401"/>
      <c r="B649" s="1402"/>
      <c r="C649" s="1402"/>
      <c r="D649" s="1403" t="s">
        <v>140</v>
      </c>
      <c r="E649" s="1404">
        <f>ROUND(SUM(E646:E648),2)</f>
        <v>16901.63</v>
      </c>
      <c r="F649" s="1025"/>
    </row>
    <row r="650" spans="1:6" s="1022" customFormat="1" ht="13.5" thickTop="1" x14ac:dyDescent="0.2">
      <c r="F650" s="1025"/>
    </row>
    <row r="651" spans="1:6" s="1022" customFormat="1" ht="13.5" thickBot="1" x14ac:dyDescent="0.25">
      <c r="A651" s="952" t="s">
        <v>622</v>
      </c>
      <c r="B651" s="963"/>
      <c r="C651" s="963"/>
      <c r="D651" s="963"/>
      <c r="E651" s="964"/>
      <c r="F651" s="1025"/>
    </row>
    <row r="652" spans="1:6" s="1022" customFormat="1" ht="13.5" thickTop="1" x14ac:dyDescent="0.2">
      <c r="A652" s="965" t="s">
        <v>306</v>
      </c>
      <c r="B652" s="966">
        <v>1.05</v>
      </c>
      <c r="C652" s="967" t="s">
        <v>10</v>
      </c>
      <c r="D652" s="968">
        <f>+D641</f>
        <v>4783.0078000000003</v>
      </c>
      <c r="E652" s="969">
        <f>ROUND(B652*D652,2)</f>
        <v>5022.16</v>
      </c>
      <c r="F652" s="1025"/>
    </row>
    <row r="653" spans="1:6" s="1022" customFormat="1" x14ac:dyDescent="0.2">
      <c r="A653" s="970" t="s">
        <v>249</v>
      </c>
      <c r="B653" s="971">
        <v>1.04</v>
      </c>
      <c r="C653" s="972" t="s">
        <v>122</v>
      </c>
      <c r="D653" s="973">
        <f>+D647</f>
        <v>2522.86</v>
      </c>
      <c r="E653" s="974">
        <f>ROUND(B653*D653,2)</f>
        <v>2623.77</v>
      </c>
      <c r="F653" s="1025"/>
    </row>
    <row r="654" spans="1:6" s="1022" customFormat="1" x14ac:dyDescent="0.2">
      <c r="A654" s="975" t="s">
        <v>276</v>
      </c>
      <c r="B654" s="1397">
        <f>1/0.1</f>
        <v>10</v>
      </c>
      <c r="C654" s="977" t="s">
        <v>8</v>
      </c>
      <c r="D654" s="978">
        <v>300</v>
      </c>
      <c r="E654" s="974">
        <f>ROUND(B654*D654,2)</f>
        <v>3000</v>
      </c>
      <c r="F654" s="1025"/>
    </row>
    <row r="655" spans="1:6" s="1022" customFormat="1" ht="13.5" thickBot="1" x14ac:dyDescent="0.25">
      <c r="A655" s="979"/>
      <c r="B655" s="980"/>
      <c r="C655" s="980"/>
      <c r="D655" s="981" t="s">
        <v>273</v>
      </c>
      <c r="E655" s="982">
        <f>SUM(E652:E654)</f>
        <v>10645.93</v>
      </c>
      <c r="F655" s="1025"/>
    </row>
    <row r="656" spans="1:6" s="1022" customFormat="1" ht="13.5" thickTop="1" x14ac:dyDescent="0.2">
      <c r="A656" s="931"/>
      <c r="B656" s="931"/>
      <c r="C656" s="931"/>
      <c r="D656" s="931"/>
      <c r="E656" s="931"/>
      <c r="F656" s="1025"/>
    </row>
    <row r="657" spans="1:6" s="1022" customFormat="1" x14ac:dyDescent="0.2">
      <c r="A657" s="931" t="s">
        <v>696</v>
      </c>
      <c r="B657" s="931"/>
      <c r="C657" s="931"/>
      <c r="D657" s="931"/>
      <c r="E657" s="931"/>
      <c r="F657" s="1025"/>
    </row>
    <row r="658" spans="1:6" s="1022" customFormat="1" x14ac:dyDescent="0.2">
      <c r="A658" s="1071" t="s">
        <v>665</v>
      </c>
      <c r="B658" s="1072">
        <v>0.93</v>
      </c>
      <c r="C658" s="1073" t="s">
        <v>666</v>
      </c>
      <c r="D658" s="1074" t="s">
        <v>703</v>
      </c>
      <c r="E658" s="1075">
        <v>0.17</v>
      </c>
      <c r="F658" s="1025"/>
    </row>
    <row r="659" spans="1:6" s="1024" customFormat="1" ht="13.5" thickBot="1" x14ac:dyDescent="0.25">
      <c r="A659" s="1076" t="s">
        <v>667</v>
      </c>
      <c r="B659" s="1072"/>
      <c r="C659" s="1073"/>
      <c r="D659" s="1077"/>
      <c r="E659" s="1077"/>
      <c r="F659" s="1025"/>
    </row>
    <row r="660" spans="1:6" s="1024" customFormat="1" ht="13.5" thickTop="1" x14ac:dyDescent="0.2">
      <c r="A660" s="1078" t="s">
        <v>508</v>
      </c>
      <c r="B660" s="1079">
        <v>1.05</v>
      </c>
      <c r="C660" s="1080" t="s">
        <v>10</v>
      </c>
      <c r="D660" s="1081">
        <f>+E58</f>
        <v>5402.0865999999996</v>
      </c>
      <c r="E660" s="1082">
        <f>B660*D660</f>
        <v>5672.1909299999998</v>
      </c>
      <c r="F660" s="1025"/>
    </row>
    <row r="661" spans="1:6" s="1024" customFormat="1" x14ac:dyDescent="0.2">
      <c r="A661" s="1083" t="s">
        <v>249</v>
      </c>
      <c r="B661" s="1084">
        <v>1.77</v>
      </c>
      <c r="C661" s="1085" t="s">
        <v>122</v>
      </c>
      <c r="D661" s="1086">
        <f>+D647</f>
        <v>2522.86</v>
      </c>
      <c r="E661" s="1087">
        <f>B661*D661</f>
        <v>4465.4621999999999</v>
      </c>
      <c r="F661" s="1025"/>
    </row>
    <row r="662" spans="1:6" s="1024" customFormat="1" ht="13.5" thickBot="1" x14ac:dyDescent="0.25">
      <c r="A662" s="1088"/>
      <c r="B662" s="1089"/>
      <c r="C662" s="1089"/>
      <c r="D662" s="1090" t="s">
        <v>668</v>
      </c>
      <c r="E662" s="1091">
        <f>SUM(E660:E661)</f>
        <v>10137.653129999999</v>
      </c>
      <c r="F662" s="1025"/>
    </row>
    <row r="663" spans="1:6" s="1024" customFormat="1" ht="14.25" thickTop="1" thickBot="1" x14ac:dyDescent="0.25">
      <c r="A663" s="1092"/>
      <c r="B663" s="1092"/>
      <c r="C663" s="1092"/>
      <c r="D663" s="1093" t="s">
        <v>673</v>
      </c>
      <c r="E663" s="1094">
        <f>+E662*B658</f>
        <v>9428.0174109</v>
      </c>
      <c r="F663" s="1025"/>
    </row>
    <row r="664" spans="1:6" s="1024" customFormat="1" ht="14.25" thickTop="1" thickBot="1" x14ac:dyDescent="0.25">
      <c r="A664" s="1076" t="s">
        <v>669</v>
      </c>
      <c r="B664" s="1072"/>
      <c r="C664" s="1073"/>
      <c r="D664" s="1077"/>
      <c r="E664" s="1077"/>
      <c r="F664" s="1025"/>
    </row>
    <row r="665" spans="1:6" s="1024" customFormat="1" ht="13.5" thickTop="1" x14ac:dyDescent="0.2">
      <c r="A665" s="1078" t="s">
        <v>704</v>
      </c>
      <c r="B665" s="1095">
        <v>0.5</v>
      </c>
      <c r="C665" s="1080" t="s">
        <v>24</v>
      </c>
      <c r="D665" s="1096">
        <v>785</v>
      </c>
      <c r="E665" s="1082">
        <f>B665*D665</f>
        <v>392.5</v>
      </c>
      <c r="F665" s="1025"/>
    </row>
    <row r="666" spans="1:6" s="1024" customFormat="1" x14ac:dyDescent="0.2">
      <c r="A666" s="1097" t="s">
        <v>671</v>
      </c>
      <c r="B666" s="1098">
        <v>3</v>
      </c>
      <c r="C666" s="1099" t="s">
        <v>202</v>
      </c>
      <c r="D666" s="1100">
        <v>55</v>
      </c>
      <c r="E666" s="1087">
        <f>B666*D666</f>
        <v>165</v>
      </c>
      <c r="F666" s="1025"/>
    </row>
    <row r="667" spans="1:6" s="1024" customFormat="1" ht="13.5" thickBot="1" x14ac:dyDescent="0.25">
      <c r="A667" s="1101" t="s">
        <v>38</v>
      </c>
      <c r="B667" s="1102">
        <v>30</v>
      </c>
      <c r="C667" s="1103" t="s">
        <v>13</v>
      </c>
      <c r="D667" s="1104">
        <f>+SUM(E665:E666)</f>
        <v>557.5</v>
      </c>
      <c r="E667" s="1105">
        <f>+(B667/100)*D667</f>
        <v>167.25</v>
      </c>
      <c r="F667" s="1025"/>
    </row>
    <row r="668" spans="1:6" s="1024" customFormat="1" ht="14.25" thickTop="1" thickBot="1" x14ac:dyDescent="0.25">
      <c r="A668" s="1106"/>
      <c r="B668" s="1106"/>
      <c r="C668" s="1107"/>
      <c r="D668" s="1093" t="s">
        <v>673</v>
      </c>
      <c r="E668" s="1094">
        <f>SUM(E665:E667)</f>
        <v>724.75</v>
      </c>
      <c r="F668" s="1025"/>
    </row>
    <row r="669" spans="1:6" s="1024" customFormat="1" ht="14.25" thickTop="1" thickBot="1" x14ac:dyDescent="0.25">
      <c r="A669" s="1092"/>
      <c r="B669" s="1108"/>
      <c r="C669" s="1108"/>
      <c r="D669" s="1109"/>
      <c r="E669" s="1110"/>
      <c r="F669" s="1025"/>
    </row>
    <row r="670" spans="1:6" s="1024" customFormat="1" ht="14.25" thickTop="1" thickBot="1" x14ac:dyDescent="0.25">
      <c r="A670" s="1092"/>
      <c r="B670" s="1610" t="s">
        <v>705</v>
      </c>
      <c r="C670" s="1611"/>
      <c r="D670" s="1612"/>
      <c r="E670" s="1111">
        <f>+E663+E668</f>
        <v>10152.7674109</v>
      </c>
      <c r="F670" s="1025"/>
    </row>
    <row r="671" spans="1:6" s="1022" customFormat="1" ht="13.5" thickTop="1" x14ac:dyDescent="0.2">
      <c r="A671" s="931"/>
      <c r="B671" s="931"/>
      <c r="C671" s="931"/>
      <c r="D671" s="931"/>
      <c r="E671" s="931"/>
      <c r="F671" s="1025"/>
    </row>
    <row r="672" spans="1:6" s="1022" customFormat="1" x14ac:dyDescent="0.2">
      <c r="A672" s="1112" t="s">
        <v>697</v>
      </c>
      <c r="B672" s="1113">
        <v>0.17</v>
      </c>
      <c r="C672" s="1116" t="s">
        <v>10</v>
      </c>
      <c r="D672" s="1113"/>
      <c r="E672" s="1442">
        <f>+E670*B672</f>
        <v>1725.9704598530002</v>
      </c>
      <c r="F672" s="1025"/>
    </row>
    <row r="673" spans="1:6" s="1022" customFormat="1" x14ac:dyDescent="0.2">
      <c r="A673" s="1112" t="s">
        <v>698</v>
      </c>
      <c r="B673" s="1113">
        <v>0.17</v>
      </c>
      <c r="C673" s="1116" t="s">
        <v>10</v>
      </c>
      <c r="D673" s="1114"/>
      <c r="E673" s="1115">
        <f>+E670*B673</f>
        <v>1725.9704598530002</v>
      </c>
      <c r="F673" s="1025"/>
    </row>
    <row r="674" spans="1:6" s="1022" customFormat="1" x14ac:dyDescent="0.2">
      <c r="A674" s="1112" t="s">
        <v>699</v>
      </c>
      <c r="B674" s="1113">
        <v>0.26</v>
      </c>
      <c r="C674" s="1116" t="s">
        <v>10</v>
      </c>
      <c r="D674" s="1114"/>
      <c r="E674" s="1115">
        <f>+E670*B674</f>
        <v>2639.7195268340001</v>
      </c>
      <c r="F674" s="1025"/>
    </row>
    <row r="675" spans="1:6" s="1022" customFormat="1" x14ac:dyDescent="0.2">
      <c r="A675" s="1112" t="s">
        <v>700</v>
      </c>
      <c r="B675" s="1113">
        <v>0.26</v>
      </c>
      <c r="C675" s="1116" t="s">
        <v>10</v>
      </c>
      <c r="D675" s="1114"/>
      <c r="E675" s="1115">
        <f>+E670*B675</f>
        <v>2639.7195268340001</v>
      </c>
      <c r="F675" s="1025"/>
    </row>
    <row r="676" spans="1:6" s="1022" customFormat="1" x14ac:dyDescent="0.2">
      <c r="A676" s="1112" t="s">
        <v>701</v>
      </c>
      <c r="B676" s="1115">
        <v>0.4</v>
      </c>
      <c r="C676" s="1116" t="s">
        <v>10</v>
      </c>
      <c r="D676" s="1114"/>
      <c r="E676" s="1115">
        <f>+E670*B676</f>
        <v>4061.1069643600003</v>
      </c>
      <c r="F676" s="1025"/>
    </row>
    <row r="677" spans="1:6" s="1022" customFormat="1" x14ac:dyDescent="0.2">
      <c r="A677" s="1112" t="s">
        <v>702</v>
      </c>
      <c r="B677" s="1113">
        <v>0.56000000000000005</v>
      </c>
      <c r="C677" s="1116" t="s">
        <v>10</v>
      </c>
      <c r="D677" s="1114"/>
      <c r="E677" s="1115">
        <f>+E670*B677</f>
        <v>5685.5497501040009</v>
      </c>
      <c r="F677" s="1025"/>
    </row>
    <row r="678" spans="1:6" s="1022" customFormat="1" x14ac:dyDescent="0.2">
      <c r="A678" s="1026"/>
      <c r="B678" s="931"/>
      <c r="C678" s="931"/>
      <c r="D678" s="931"/>
      <c r="E678" s="931"/>
      <c r="F678" s="1025"/>
    </row>
    <row r="679" spans="1:6" s="1022" customFormat="1" x14ac:dyDescent="0.2">
      <c r="A679" s="1189" t="s">
        <v>715</v>
      </c>
      <c r="B679" s="1190"/>
      <c r="C679" s="1191"/>
      <c r="D679" s="1190"/>
      <c r="E679" s="1190"/>
      <c r="F679" s="1025"/>
    </row>
    <row r="680" spans="1:6" s="1022" customFormat="1" x14ac:dyDescent="0.2">
      <c r="A680" s="1192" t="s">
        <v>716</v>
      </c>
      <c r="B680" s="1192" t="s">
        <v>717</v>
      </c>
      <c r="C680" s="1192" t="s">
        <v>718</v>
      </c>
      <c r="D680" s="1192" t="s">
        <v>4</v>
      </c>
      <c r="E680" s="1193" t="s">
        <v>719</v>
      </c>
      <c r="F680" s="1025"/>
    </row>
    <row r="681" spans="1:6" s="1022" customFormat="1" x14ac:dyDescent="0.2">
      <c r="A681" s="1194" t="s">
        <v>117</v>
      </c>
      <c r="B681" s="1195">
        <v>4</v>
      </c>
      <c r="C681" s="1196" t="s">
        <v>116</v>
      </c>
      <c r="D681" s="1195">
        <v>253.67</v>
      </c>
      <c r="E681" s="1197">
        <f>ROUND(B681*D681,2)</f>
        <v>1014.68</v>
      </c>
      <c r="F681" s="1025"/>
    </row>
    <row r="682" spans="1:6" s="1022" customFormat="1" x14ac:dyDescent="0.2">
      <c r="A682" s="1198" t="s">
        <v>720</v>
      </c>
      <c r="B682" s="1199">
        <v>1</v>
      </c>
      <c r="C682" s="1200" t="s">
        <v>151</v>
      </c>
      <c r="D682" s="1199">
        <v>3500</v>
      </c>
      <c r="E682" s="1201">
        <f>ROUND(B682*D682,2)</f>
        <v>3500</v>
      </c>
      <c r="F682" s="1025"/>
    </row>
    <row r="683" spans="1:6" s="1022" customFormat="1" x14ac:dyDescent="0.2">
      <c r="A683" s="1202" t="s">
        <v>721</v>
      </c>
      <c r="B683" s="1199">
        <v>1</v>
      </c>
      <c r="C683" s="1200" t="s">
        <v>151</v>
      </c>
      <c r="D683" s="1199">
        <v>1977</v>
      </c>
      <c r="E683" s="1201">
        <f>ROUND(B683*D683,2)</f>
        <v>1977</v>
      </c>
      <c r="F683" s="1025"/>
    </row>
    <row r="684" spans="1:6" s="1022" customFormat="1" x14ac:dyDescent="0.2">
      <c r="A684" s="1202" t="s">
        <v>722</v>
      </c>
      <c r="B684" s="1199">
        <v>1</v>
      </c>
      <c r="C684" s="1200" t="s">
        <v>151</v>
      </c>
      <c r="D684" s="1199">
        <v>1318</v>
      </c>
      <c r="E684" s="1201">
        <f>ROUND(B684*D684,2)</f>
        <v>1318</v>
      </c>
      <c r="F684" s="1025"/>
    </row>
    <row r="685" spans="1:6" s="1022" customFormat="1" x14ac:dyDescent="0.2">
      <c r="A685" s="1198" t="s">
        <v>350</v>
      </c>
      <c r="B685" s="1199">
        <v>350</v>
      </c>
      <c r="C685" s="1200" t="s">
        <v>723</v>
      </c>
      <c r="D685" s="1203" t="s">
        <v>724</v>
      </c>
      <c r="E685" s="1204">
        <f>SUM(E681:E684)</f>
        <v>7809.68</v>
      </c>
      <c r="F685" s="1025"/>
    </row>
    <row r="686" spans="1:6" s="1022" customFormat="1" x14ac:dyDescent="0.2">
      <c r="A686" s="1205"/>
      <c r="B686" s="1206"/>
      <c r="C686" s="1207"/>
      <c r="D686" s="1208" t="s">
        <v>725</v>
      </c>
      <c r="E686" s="1209">
        <f>E685/B685</f>
        <v>22.313371428571429</v>
      </c>
      <c r="F686" s="1025"/>
    </row>
    <row r="687" spans="1:6" s="1022" customFormat="1" x14ac:dyDescent="0.2">
      <c r="F687" s="1025"/>
    </row>
    <row r="688" spans="1:6" s="1022" customFormat="1" x14ac:dyDescent="0.2">
      <c r="F688" s="1025"/>
    </row>
    <row r="689" spans="1:6" s="1022" customFormat="1" x14ac:dyDescent="0.2">
      <c r="A689" s="1210" t="s">
        <v>727</v>
      </c>
      <c r="B689" s="1211"/>
      <c r="C689" s="1211"/>
      <c r="D689" s="1211"/>
      <c r="E689" s="1211"/>
      <c r="F689" s="1025"/>
    </row>
    <row r="690" spans="1:6" s="1022" customFormat="1" x14ac:dyDescent="0.2">
      <c r="A690" s="1212"/>
      <c r="B690" s="1213" t="s">
        <v>728</v>
      </c>
      <c r="C690" s="1213" t="s">
        <v>729</v>
      </c>
      <c r="D690" s="1213" t="s">
        <v>111</v>
      </c>
      <c r="E690" s="1213" t="s">
        <v>730</v>
      </c>
      <c r="F690" s="1025"/>
    </row>
    <row r="691" spans="1:6" s="1022" customFormat="1" x14ac:dyDescent="0.2">
      <c r="A691" s="1214" t="s">
        <v>731</v>
      </c>
      <c r="B691" s="1215">
        <v>1</v>
      </c>
      <c r="C691" s="1216" t="s">
        <v>10</v>
      </c>
      <c r="D691" s="1215">
        <v>750</v>
      </c>
      <c r="E691" s="1217">
        <f>D691*B691</f>
        <v>750</v>
      </c>
      <c r="F691" s="1025"/>
    </row>
    <row r="692" spans="1:6" s="1022" customFormat="1" x14ac:dyDescent="0.2">
      <c r="A692" s="1214"/>
      <c r="B692" s="1215"/>
      <c r="C692" s="1216"/>
      <c r="D692" s="1218" t="s">
        <v>273</v>
      </c>
      <c r="E692" s="1219">
        <f>SUM(E691:E691)</f>
        <v>750</v>
      </c>
      <c r="F692" s="1025"/>
    </row>
    <row r="693" spans="1:6" s="1022" customFormat="1" x14ac:dyDescent="0.2">
      <c r="A693" s="1220" t="s">
        <v>732</v>
      </c>
      <c r="B693" s="1215"/>
      <c r="C693" s="1216"/>
      <c r="D693" s="1215"/>
      <c r="E693" s="1221"/>
      <c r="F693" s="1025"/>
    </row>
    <row r="694" spans="1:6" s="1022" customFormat="1" x14ac:dyDescent="0.2">
      <c r="A694" s="1214" t="s">
        <v>733</v>
      </c>
      <c r="B694" s="1215">
        <v>1</v>
      </c>
      <c r="C694" s="1216" t="s">
        <v>151</v>
      </c>
      <c r="D694" s="1217">
        <v>3295</v>
      </c>
      <c r="E694" s="1217">
        <f>D694*B694</f>
        <v>3295</v>
      </c>
      <c r="F694" s="1025"/>
    </row>
    <row r="695" spans="1:6" s="1022" customFormat="1" x14ac:dyDescent="0.2">
      <c r="A695" s="1211" t="s">
        <v>734</v>
      </c>
      <c r="B695" s="1222">
        <v>0.03</v>
      </c>
      <c r="C695" s="1223" t="s">
        <v>13</v>
      </c>
      <c r="D695" s="1224">
        <v>1950</v>
      </c>
      <c r="E695" s="1225">
        <f>+D695*B695</f>
        <v>58.5</v>
      </c>
      <c r="F695" s="1025"/>
    </row>
    <row r="696" spans="1:6" s="1022" customFormat="1" x14ac:dyDescent="0.2">
      <c r="A696" s="1211"/>
      <c r="B696" s="1211"/>
      <c r="C696" s="1211"/>
      <c r="D696" s="1226" t="s">
        <v>735</v>
      </c>
      <c r="E696" s="1227">
        <f>E694+E695</f>
        <v>3353.5</v>
      </c>
      <c r="F696" s="1025"/>
    </row>
    <row r="697" spans="1:6" s="1022" customFormat="1" x14ac:dyDescent="0.2">
      <c r="A697" s="1228" t="s">
        <v>350</v>
      </c>
      <c r="B697" s="1229">
        <v>12</v>
      </c>
      <c r="C697" s="1211"/>
      <c r="D697" s="1226" t="s">
        <v>736</v>
      </c>
      <c r="E697" s="1230">
        <f>+E696/B697</f>
        <v>279.45833333333331</v>
      </c>
      <c r="F697" s="1025"/>
    </row>
    <row r="698" spans="1:6" s="1022" customFormat="1" x14ac:dyDescent="0.2">
      <c r="A698" s="1211"/>
      <c r="B698" s="1211"/>
      <c r="C698" s="1231"/>
      <c r="D698" s="1226" t="s">
        <v>737</v>
      </c>
      <c r="E698" s="1230">
        <f>ROUND(E697+E692,2)</f>
        <v>1029.46</v>
      </c>
      <c r="F698" s="1025"/>
    </row>
    <row r="699" spans="1:6" s="1022" customFormat="1" ht="9.75" customHeight="1" x14ac:dyDescent="0.2">
      <c r="A699" s="931"/>
      <c r="B699" s="931"/>
      <c r="C699" s="931"/>
      <c r="D699" s="931"/>
      <c r="E699" s="931"/>
      <c r="F699" s="1025"/>
    </row>
    <row r="700" spans="1:6" s="1123" customFormat="1" ht="9.75" customHeight="1" x14ac:dyDescent="0.2">
      <c r="A700" s="1146" t="s">
        <v>755</v>
      </c>
      <c r="B700" s="1147"/>
      <c r="C700" s="1147"/>
      <c r="D700" s="1147"/>
      <c r="E700" s="1147"/>
      <c r="F700" s="1025"/>
    </row>
    <row r="701" spans="1:6" s="1123" customFormat="1" ht="9.75" customHeight="1" x14ac:dyDescent="0.2">
      <c r="A701" s="1148" t="s">
        <v>110</v>
      </c>
      <c r="B701" s="1149" t="s">
        <v>111</v>
      </c>
      <c r="C701" s="1149" t="s">
        <v>538</v>
      </c>
      <c r="D701" s="1149" t="s">
        <v>539</v>
      </c>
      <c r="E701" s="1149" t="s">
        <v>540</v>
      </c>
      <c r="F701" s="1025"/>
    </row>
    <row r="702" spans="1:6" s="1123" customFormat="1" ht="9.75" customHeight="1" x14ac:dyDescent="0.2">
      <c r="A702" s="1150" t="s">
        <v>756</v>
      </c>
      <c r="B702" s="1151">
        <v>1</v>
      </c>
      <c r="C702" s="1152" t="s">
        <v>40</v>
      </c>
      <c r="D702" s="1151">
        <v>1229.5999999999999</v>
      </c>
      <c r="E702" s="1151">
        <f>D702*B702</f>
        <v>1229.5999999999999</v>
      </c>
      <c r="F702" s="1025"/>
    </row>
    <row r="703" spans="1:6" s="1123" customFormat="1" ht="9.75" customHeight="1" x14ac:dyDescent="0.2">
      <c r="A703" s="1150" t="s">
        <v>757</v>
      </c>
      <c r="B703" s="1151">
        <v>3.2</v>
      </c>
      <c r="C703" s="1152" t="s">
        <v>353</v>
      </c>
      <c r="D703" s="1151">
        <v>174.5</v>
      </c>
      <c r="E703" s="1151">
        <f>D703*B703</f>
        <v>558.4</v>
      </c>
      <c r="F703" s="1025"/>
    </row>
    <row r="704" spans="1:6" s="1123" customFormat="1" ht="9.75" customHeight="1" x14ac:dyDescent="0.2">
      <c r="A704" s="1150" t="s">
        <v>543</v>
      </c>
      <c r="B704" s="1151">
        <v>1</v>
      </c>
      <c r="C704" s="1152" t="s">
        <v>751</v>
      </c>
      <c r="D704" s="1151">
        <v>134.4</v>
      </c>
      <c r="E704" s="1151">
        <f>D704*B704</f>
        <v>134.4</v>
      </c>
      <c r="F704" s="1025"/>
    </row>
    <row r="705" spans="1:6" s="1123" customFormat="1" ht="9.75" customHeight="1" x14ac:dyDescent="0.2">
      <c r="A705" s="1150" t="s">
        <v>758</v>
      </c>
      <c r="B705" s="1151">
        <v>1</v>
      </c>
      <c r="C705" s="1152" t="s">
        <v>40</v>
      </c>
      <c r="D705" s="1151">
        <v>150</v>
      </c>
      <c r="E705" s="1151">
        <f>D705*B705</f>
        <v>150</v>
      </c>
      <c r="F705" s="1025"/>
    </row>
    <row r="706" spans="1:6" s="1123" customFormat="1" ht="9.75" customHeight="1" x14ac:dyDescent="0.2">
      <c r="A706" s="1153"/>
      <c r="B706" s="1154"/>
      <c r="C706" s="1155"/>
      <c r="D706" s="1156" t="s">
        <v>759</v>
      </c>
      <c r="E706" s="1156">
        <f>SUM(E702:E705)</f>
        <v>2072.4</v>
      </c>
      <c r="F706" s="1025"/>
    </row>
    <row r="707" spans="1:6" s="1123" customFormat="1" ht="9.75" customHeight="1" thickBot="1" x14ac:dyDescent="0.25">
      <c r="A707" s="1157"/>
      <c r="B707" s="1158" t="s">
        <v>760</v>
      </c>
      <c r="C707" s="1159">
        <v>54.72</v>
      </c>
      <c r="D707" s="1157"/>
      <c r="E707" s="1157"/>
      <c r="F707" s="1025"/>
    </row>
    <row r="708" spans="1:6" s="1123" customFormat="1" ht="13.5" customHeight="1" thickBot="1" x14ac:dyDescent="0.25">
      <c r="A708" s="1157"/>
      <c r="B708" s="1157"/>
      <c r="C708" s="1160"/>
      <c r="D708" s="1161" t="s">
        <v>761</v>
      </c>
      <c r="E708" s="1162">
        <f>+E706/C707</f>
        <v>37.872807017543863</v>
      </c>
      <c r="F708" s="1025"/>
    </row>
    <row r="709" spans="1:6" s="1123" customFormat="1" ht="9.75" customHeight="1" x14ac:dyDescent="0.2">
      <c r="A709" s="931"/>
      <c r="B709" s="931"/>
      <c r="C709" s="931"/>
      <c r="D709" s="931"/>
      <c r="E709" s="931"/>
      <c r="F709" s="1025"/>
    </row>
    <row r="710" spans="1:6" s="1123" customFormat="1" ht="9.75" customHeight="1" x14ac:dyDescent="0.2">
      <c r="A710" s="931"/>
      <c r="B710" s="931"/>
      <c r="C710" s="931"/>
      <c r="D710" s="931"/>
      <c r="E710" s="931"/>
      <c r="F710" s="1025"/>
    </row>
    <row r="711" spans="1:6" s="1123" customFormat="1" ht="9.75" customHeight="1" x14ac:dyDescent="0.2">
      <c r="A711" s="931"/>
      <c r="B711" s="931"/>
      <c r="C711" s="931"/>
      <c r="D711" s="931"/>
      <c r="E711" s="931"/>
      <c r="F711" s="1025"/>
    </row>
    <row r="712" spans="1:6" x14ac:dyDescent="0.2">
      <c r="A712" s="1136" t="s">
        <v>745</v>
      </c>
      <c r="B712" s="1125"/>
      <c r="C712" s="1125"/>
      <c r="D712" s="1125"/>
      <c r="E712" s="1125"/>
    </row>
    <row r="713" spans="1:6" s="1123" customFormat="1" x14ac:dyDescent="0.2">
      <c r="A713" s="1126"/>
      <c r="B713" s="1127" t="s">
        <v>111</v>
      </c>
      <c r="C713" s="1127" t="s">
        <v>538</v>
      </c>
      <c r="D713" s="1127" t="s">
        <v>539</v>
      </c>
      <c r="E713" s="1127" t="s">
        <v>540</v>
      </c>
      <c r="F713" s="1025"/>
    </row>
    <row r="714" spans="1:6" s="1123" customFormat="1" x14ac:dyDescent="0.2">
      <c r="A714" s="1137" t="s">
        <v>746</v>
      </c>
      <c r="B714" s="1138">
        <v>1</v>
      </c>
      <c r="C714" s="1139" t="s">
        <v>747</v>
      </c>
      <c r="D714" s="1140">
        <v>3895</v>
      </c>
      <c r="E714" s="1131">
        <f>B714*D714</f>
        <v>3895</v>
      </c>
      <c r="F714" s="1025"/>
    </row>
    <row r="715" spans="1:6" s="1123" customFormat="1" x14ac:dyDescent="0.2">
      <c r="A715" s="1137" t="s">
        <v>748</v>
      </c>
      <c r="B715" s="1138">
        <v>12</v>
      </c>
      <c r="C715" s="1139" t="s">
        <v>749</v>
      </c>
      <c r="D715" s="1140">
        <v>174.5</v>
      </c>
      <c r="E715" s="1131">
        <f>B715*D715</f>
        <v>2094</v>
      </c>
      <c r="F715" s="1025"/>
    </row>
    <row r="716" spans="1:6" s="1123" customFormat="1" x14ac:dyDescent="0.2">
      <c r="A716" s="1137" t="s">
        <v>750</v>
      </c>
      <c r="B716" s="1138">
        <v>1</v>
      </c>
      <c r="C716" s="1139" t="s">
        <v>751</v>
      </c>
      <c r="D716" s="1140">
        <f>E715*0.2</f>
        <v>418.8</v>
      </c>
      <c r="E716" s="1131">
        <f>B716*D716</f>
        <v>418.8</v>
      </c>
      <c r="F716" s="1025"/>
    </row>
    <row r="717" spans="1:6" s="1123" customFormat="1" x14ac:dyDescent="0.2">
      <c r="A717" s="1137" t="s">
        <v>752</v>
      </c>
      <c r="B717" s="1138">
        <v>1</v>
      </c>
      <c r="C717" s="1139" t="s">
        <v>747</v>
      </c>
      <c r="D717" s="1140">
        <f>1300/8</f>
        <v>162.5</v>
      </c>
      <c r="E717" s="1131">
        <f>B717*D717</f>
        <v>162.5</v>
      </c>
      <c r="F717" s="1025"/>
    </row>
    <row r="718" spans="1:6" s="1123" customFormat="1" x14ac:dyDescent="0.2">
      <c r="A718" s="1137" t="s">
        <v>753</v>
      </c>
      <c r="B718" s="1126"/>
      <c r="C718" s="1134"/>
      <c r="D718" s="1131"/>
      <c r="E718" s="1135">
        <f>SUM(E714:E717)</f>
        <v>6570.3</v>
      </c>
      <c r="F718" s="1025"/>
    </row>
    <row r="719" spans="1:6" s="1123" customFormat="1" x14ac:dyDescent="0.2">
      <c r="A719" s="1141" t="s">
        <v>350</v>
      </c>
      <c r="B719" s="1126">
        <v>129.19999999999999</v>
      </c>
      <c r="C719" s="1134" t="s">
        <v>754</v>
      </c>
      <c r="D719" s="1131"/>
      <c r="E719" s="1131"/>
      <c r="F719" s="1025"/>
    </row>
    <row r="720" spans="1:6" s="1123" customFormat="1" x14ac:dyDescent="0.2">
      <c r="A720" s="1142" t="s">
        <v>744</v>
      </c>
      <c r="B720" s="1126"/>
      <c r="C720" s="1134"/>
      <c r="D720" s="1131"/>
      <c r="E720" s="1135">
        <f>E718/B719</f>
        <v>50.85371517027864</v>
      </c>
      <c r="F720" s="1025"/>
    </row>
    <row r="721" spans="1:6" s="1123" customFormat="1" x14ac:dyDescent="0.2">
      <c r="A721" s="1143"/>
      <c r="B721" s="1143"/>
      <c r="C721" s="1143"/>
      <c r="D721" s="1144"/>
      <c r="E721" s="1145"/>
      <c r="F721" s="1025"/>
    </row>
    <row r="722" spans="1:6" s="1123" customFormat="1" x14ac:dyDescent="0.2">
      <c r="A722" s="322"/>
      <c r="B722" s="323"/>
      <c r="C722" s="322"/>
      <c r="D722" s="323"/>
      <c r="E722" s="323"/>
      <c r="F722" s="1025"/>
    </row>
    <row r="723" spans="1:6" s="1123" customFormat="1" x14ac:dyDescent="0.2">
      <c r="A723" s="1124" t="s">
        <v>738</v>
      </c>
      <c r="B723" s="1124"/>
      <c r="C723" s="1124"/>
      <c r="D723" s="1124"/>
      <c r="E723" s="1125"/>
      <c r="F723" s="1025"/>
    </row>
    <row r="724" spans="1:6" s="1123" customFormat="1" x14ac:dyDescent="0.2">
      <c r="A724" s="1126"/>
      <c r="B724" s="1127" t="s">
        <v>111</v>
      </c>
      <c r="C724" s="1127" t="s">
        <v>538</v>
      </c>
      <c r="D724" s="1127" t="s">
        <v>539</v>
      </c>
      <c r="E724" s="1127" t="s">
        <v>540</v>
      </c>
      <c r="F724" s="1025"/>
    </row>
    <row r="725" spans="1:6" s="1123" customFormat="1" x14ac:dyDescent="0.2">
      <c r="A725" s="1128" t="s">
        <v>739</v>
      </c>
      <c r="B725" s="1129">
        <v>1</v>
      </c>
      <c r="C725" s="1130" t="s">
        <v>10</v>
      </c>
      <c r="D725" s="1129">
        <v>75</v>
      </c>
      <c r="E725" s="1131">
        <f>B725*D725</f>
        <v>75</v>
      </c>
      <c r="F725" s="1025"/>
    </row>
    <row r="726" spans="1:6" s="1123" customFormat="1" x14ac:dyDescent="0.2">
      <c r="A726" s="1128" t="s">
        <v>740</v>
      </c>
      <c r="B726" s="1129">
        <v>20</v>
      </c>
      <c r="C726" s="1130" t="s">
        <v>124</v>
      </c>
      <c r="D726" s="1132">
        <v>18.5</v>
      </c>
      <c r="E726" s="1131">
        <f>B726*D726</f>
        <v>370</v>
      </c>
      <c r="F726" s="1025"/>
    </row>
    <row r="727" spans="1:6" s="1123" customFormat="1" x14ac:dyDescent="0.2">
      <c r="A727" s="1128" t="s">
        <v>741</v>
      </c>
      <c r="B727" s="1129">
        <v>1</v>
      </c>
      <c r="C727" s="1130" t="s">
        <v>10</v>
      </c>
      <c r="D727" s="1132">
        <f>+E720</f>
        <v>50.85371517027864</v>
      </c>
      <c r="E727" s="1131">
        <f>B727*D727</f>
        <v>50.85371517027864</v>
      </c>
      <c r="F727" s="1025"/>
    </row>
    <row r="728" spans="1:6" s="1123" customFormat="1" x14ac:dyDescent="0.2">
      <c r="A728" s="1128" t="s">
        <v>742</v>
      </c>
      <c r="B728" s="1129">
        <v>1</v>
      </c>
      <c r="C728" s="1130" t="s">
        <v>10</v>
      </c>
      <c r="D728" s="1129">
        <v>12</v>
      </c>
      <c r="E728" s="1131">
        <f>B728*D728</f>
        <v>12</v>
      </c>
      <c r="F728" s="1025"/>
    </row>
    <row r="729" spans="1:6" s="1123" customFormat="1" x14ac:dyDescent="0.2">
      <c r="A729" s="1128" t="s">
        <v>743</v>
      </c>
      <c r="B729" s="1129">
        <v>1</v>
      </c>
      <c r="C729" s="1130" t="s">
        <v>10</v>
      </c>
      <c r="D729" s="1129">
        <f>+E708</f>
        <v>37.872807017543863</v>
      </c>
      <c r="E729" s="1131">
        <f>B729*D729</f>
        <v>37.872807017543863</v>
      </c>
      <c r="F729" s="1025"/>
    </row>
    <row r="730" spans="1:6" s="1123" customFormat="1" x14ac:dyDescent="0.2">
      <c r="A730" s="1133" t="s">
        <v>744</v>
      </c>
      <c r="B730" s="1126"/>
      <c r="C730" s="1134"/>
      <c r="D730" s="1131"/>
      <c r="E730" s="1135">
        <f>SUM(E725:E729)</f>
        <v>545.72652218782252</v>
      </c>
      <c r="F730" s="1025"/>
    </row>
    <row r="731" spans="1:6" s="1123" customFormat="1" x14ac:dyDescent="0.2">
      <c r="A731" s="322"/>
      <c r="B731" s="323"/>
      <c r="C731" s="322"/>
      <c r="D731" s="323"/>
      <c r="E731" s="323"/>
      <c r="F731" s="1025"/>
    </row>
    <row r="732" spans="1:6" s="1123" customFormat="1" ht="13.5" thickBot="1" x14ac:dyDescent="0.25">
      <c r="A732" s="1163" t="s">
        <v>762</v>
      </c>
      <c r="B732" s="1164"/>
      <c r="C732" s="1164"/>
      <c r="D732" s="1164"/>
      <c r="E732" s="1164"/>
      <c r="F732" s="1025"/>
    </row>
    <row r="733" spans="1:6" s="1123" customFormat="1" ht="13.5" thickTop="1" x14ac:dyDescent="0.2">
      <c r="A733" s="1165"/>
      <c r="B733" s="1166" t="s">
        <v>111</v>
      </c>
      <c r="C733" s="1166" t="s">
        <v>538</v>
      </c>
      <c r="D733" s="1166" t="s">
        <v>539</v>
      </c>
      <c r="E733" s="1167" t="s">
        <v>540</v>
      </c>
      <c r="F733" s="1025"/>
    </row>
    <row r="734" spans="1:6" s="1123" customFormat="1" x14ac:dyDescent="0.2">
      <c r="A734" s="1168" t="s">
        <v>763</v>
      </c>
      <c r="B734" s="1169">
        <v>1</v>
      </c>
      <c r="C734" s="1170" t="s">
        <v>764</v>
      </c>
      <c r="D734" s="1171">
        <v>2200</v>
      </c>
      <c r="E734" s="1172">
        <f>+D734*B734</f>
        <v>2200</v>
      </c>
      <c r="F734" s="1025"/>
    </row>
    <row r="735" spans="1:6" s="1123" customFormat="1" x14ac:dyDescent="0.2">
      <c r="A735" s="1173" t="s">
        <v>765</v>
      </c>
      <c r="B735" s="1174">
        <v>1</v>
      </c>
      <c r="C735" s="1170" t="s">
        <v>764</v>
      </c>
      <c r="D735" s="1171">
        <v>650</v>
      </c>
      <c r="E735" s="1172">
        <f>+D735*B735</f>
        <v>650</v>
      </c>
      <c r="F735" s="1025"/>
    </row>
    <row r="736" spans="1:6" s="1123" customFormat="1" x14ac:dyDescent="0.2">
      <c r="A736" s="1173" t="s">
        <v>766</v>
      </c>
      <c r="B736" s="1174">
        <v>1</v>
      </c>
      <c r="C736" s="1170" t="s">
        <v>764</v>
      </c>
      <c r="D736" s="1171">
        <v>650</v>
      </c>
      <c r="E736" s="1172">
        <f>+D736*B736</f>
        <v>650</v>
      </c>
      <c r="F736" s="1025"/>
    </row>
    <row r="737" spans="1:8" s="1123" customFormat="1" x14ac:dyDescent="0.2">
      <c r="A737" s="1173" t="s">
        <v>767</v>
      </c>
      <c r="B737" s="1174">
        <v>1</v>
      </c>
      <c r="C737" s="1170" t="s">
        <v>764</v>
      </c>
      <c r="D737" s="1171">
        <v>650</v>
      </c>
      <c r="E737" s="1172">
        <f>+D737*B737</f>
        <v>650</v>
      </c>
      <c r="F737" s="1025"/>
    </row>
    <row r="738" spans="1:8" s="1123" customFormat="1" x14ac:dyDescent="0.2">
      <c r="A738" s="1173" t="s">
        <v>768</v>
      </c>
      <c r="B738" s="1174">
        <v>1</v>
      </c>
      <c r="C738" s="1170" t="s">
        <v>764</v>
      </c>
      <c r="D738" s="1171">
        <v>96</v>
      </c>
      <c r="E738" s="1172">
        <f>+D738*B738</f>
        <v>96</v>
      </c>
      <c r="F738" s="1025"/>
    </row>
    <row r="739" spans="1:8" s="1123" customFormat="1" x14ac:dyDescent="0.2">
      <c r="A739" s="1175"/>
      <c r="B739" s="1176"/>
      <c r="C739" s="1170"/>
      <c r="D739" s="1177" t="s">
        <v>735</v>
      </c>
      <c r="E739" s="1178">
        <f>SUM(E734:E738)</f>
        <v>4246</v>
      </c>
      <c r="F739" s="1025"/>
    </row>
    <row r="740" spans="1:8" s="1123" customFormat="1" ht="13.5" thickBot="1" x14ac:dyDescent="0.25">
      <c r="A740" s="1179" t="s">
        <v>350</v>
      </c>
      <c r="B740" s="1180">
        <v>28</v>
      </c>
      <c r="C740" s="1181" t="s">
        <v>650</v>
      </c>
      <c r="D740" s="1180"/>
      <c r="E740" s="1182"/>
      <c r="F740" s="1025"/>
    </row>
    <row r="741" spans="1:8" s="1123" customFormat="1" ht="13.5" thickTop="1" x14ac:dyDescent="0.2">
      <c r="A741" s="1183"/>
      <c r="B741" s="1184"/>
      <c r="C741" s="1184"/>
      <c r="D741" s="1185" t="s">
        <v>769</v>
      </c>
      <c r="E741" s="1186">
        <f>+ROUND(E739/B740,2)</f>
        <v>151.63999999999999</v>
      </c>
      <c r="F741" s="1025"/>
    </row>
    <row r="742" spans="1:8" s="1123" customFormat="1" x14ac:dyDescent="0.2">
      <c r="A742" s="322"/>
      <c r="B742" s="323"/>
      <c r="C742" s="322"/>
      <c r="D742" s="323"/>
      <c r="E742" s="323"/>
      <c r="F742" s="1025"/>
    </row>
    <row r="743" spans="1:8" s="1123" customFormat="1" x14ac:dyDescent="0.2">
      <c r="A743" s="322"/>
      <c r="B743" s="323"/>
      <c r="C743" s="322"/>
      <c r="D743" s="323"/>
      <c r="E743" s="323"/>
      <c r="F743" s="1025"/>
    </row>
    <row r="744" spans="1:8" s="1123" customFormat="1" x14ac:dyDescent="0.2">
      <c r="A744" s="322"/>
      <c r="B744" s="323"/>
      <c r="C744" s="322"/>
      <c r="D744" s="323"/>
      <c r="E744" s="323"/>
      <c r="F744" s="1025"/>
    </row>
    <row r="745" spans="1:8" ht="13.5" thickBot="1" x14ac:dyDescent="0.25">
      <c r="A745" s="137"/>
      <c r="B745" s="358">
        <f>2.1*0.9</f>
        <v>1.8900000000000001</v>
      </c>
      <c r="C745" s="359" t="s">
        <v>16</v>
      </c>
      <c r="D745" s="360">
        <v>22.48</v>
      </c>
      <c r="E745" s="94" t="s">
        <v>104</v>
      </c>
      <c r="G745">
        <f>1.1*1.9</f>
        <v>2.09</v>
      </c>
      <c r="H745">
        <f>+G745*10.76</f>
        <v>22.488399999999999</v>
      </c>
    </row>
    <row r="746" spans="1:8" ht="13.5" thickTop="1" x14ac:dyDescent="0.2">
      <c r="A746" s="97" t="s">
        <v>309</v>
      </c>
      <c r="B746" s="98">
        <v>4</v>
      </c>
      <c r="C746" s="330" t="s">
        <v>24</v>
      </c>
      <c r="D746" s="98">
        <v>475</v>
      </c>
      <c r="E746" s="116">
        <f t="shared" ref="E746:E752" si="17">ROUND(B746*D746,2)</f>
        <v>1900</v>
      </c>
    </row>
    <row r="747" spans="1:8" x14ac:dyDescent="0.2">
      <c r="A747" s="107" t="s">
        <v>861</v>
      </c>
      <c r="B747" s="108">
        <v>0.5</v>
      </c>
      <c r="C747" s="331" t="s">
        <v>310</v>
      </c>
      <c r="D747" s="108">
        <v>600</v>
      </c>
      <c r="E747" s="106">
        <f t="shared" si="17"/>
        <v>300</v>
      </c>
    </row>
    <row r="748" spans="1:8" x14ac:dyDescent="0.2">
      <c r="A748" s="107" t="s">
        <v>311</v>
      </c>
      <c r="B748" s="108">
        <v>0.33</v>
      </c>
      <c r="C748" s="331" t="s">
        <v>310</v>
      </c>
      <c r="D748" s="108">
        <f>E766</f>
        <v>8640.8639999999996</v>
      </c>
      <c r="E748" s="106">
        <f t="shared" si="17"/>
        <v>2851.49</v>
      </c>
    </row>
    <row r="749" spans="1:8" x14ac:dyDescent="0.2">
      <c r="A749" s="107" t="s">
        <v>312</v>
      </c>
      <c r="B749" s="108">
        <v>0.25</v>
      </c>
      <c r="C749" s="331" t="s">
        <v>23</v>
      </c>
      <c r="D749" s="108">
        <v>725</v>
      </c>
      <c r="E749" s="106">
        <f t="shared" si="17"/>
        <v>181.25</v>
      </c>
    </row>
    <row r="750" spans="1:8" x14ac:dyDescent="0.2">
      <c r="A750" s="107" t="s">
        <v>313</v>
      </c>
      <c r="B750" s="108">
        <v>0.25</v>
      </c>
      <c r="C750" s="331" t="s">
        <v>23</v>
      </c>
      <c r="D750" s="108">
        <v>850</v>
      </c>
      <c r="E750" s="106">
        <f t="shared" si="17"/>
        <v>212.5</v>
      </c>
    </row>
    <row r="751" spans="1:8" s="1486" customFormat="1" x14ac:dyDescent="0.2">
      <c r="A751" s="1517" t="s">
        <v>859</v>
      </c>
      <c r="B751" s="1518">
        <v>0.2</v>
      </c>
      <c r="C751" s="1519" t="s">
        <v>860</v>
      </c>
      <c r="D751" s="1518">
        <v>300</v>
      </c>
      <c r="E751" s="1520">
        <f t="shared" si="17"/>
        <v>60</v>
      </c>
      <c r="F751" s="1025"/>
    </row>
    <row r="752" spans="1:8" s="1486" customFormat="1" x14ac:dyDescent="0.2">
      <c r="A752" s="1517" t="s">
        <v>858</v>
      </c>
      <c r="B752" s="1518">
        <v>1</v>
      </c>
      <c r="C752" s="1519" t="s">
        <v>24</v>
      </c>
      <c r="D752" s="1518">
        <v>1500</v>
      </c>
      <c r="E752" s="1520">
        <f t="shared" si="17"/>
        <v>1500</v>
      </c>
      <c r="F752" s="1025"/>
    </row>
    <row r="753" spans="1:5" ht="13.5" thickBot="1" x14ac:dyDescent="0.25">
      <c r="A753" s="117"/>
      <c r="B753" s="128"/>
      <c r="C753" s="223"/>
      <c r="D753" s="309" t="s">
        <v>314</v>
      </c>
      <c r="E753" s="118">
        <f>SUM(E746:E752)</f>
        <v>7005.24</v>
      </c>
    </row>
    <row r="754" spans="1:5" ht="14.25" thickTop="1" thickBot="1" x14ac:dyDescent="0.25">
      <c r="A754" s="361"/>
      <c r="B754" s="362"/>
      <c r="C754" s="363"/>
      <c r="D754" s="364" t="s">
        <v>315</v>
      </c>
      <c r="E754" s="365">
        <f>ROUND(E753/B745,2)</f>
        <v>3706.48</v>
      </c>
    </row>
    <row r="755" spans="1:5" ht="14.25" thickTop="1" thickBot="1" x14ac:dyDescent="0.25">
      <c r="A755" s="361"/>
      <c r="B755" s="362"/>
      <c r="C755" s="363"/>
      <c r="D755" s="366" t="s">
        <v>316</v>
      </c>
      <c r="E755" s="367">
        <f>ROUND(E753/D745,2)</f>
        <v>311.62</v>
      </c>
    </row>
    <row r="756" spans="1:5" ht="13.5" thickTop="1" x14ac:dyDescent="0.2">
      <c r="A756" s="93"/>
      <c r="B756" s="94"/>
      <c r="C756" s="93"/>
      <c r="D756" s="94"/>
      <c r="E756" s="94"/>
    </row>
    <row r="757" spans="1:5" ht="15.75" x14ac:dyDescent="0.25">
      <c r="A757" s="1606" t="s">
        <v>317</v>
      </c>
      <c r="B757" s="1606"/>
      <c r="C757" s="1606"/>
      <c r="D757" s="1606"/>
      <c r="E757" s="1606"/>
    </row>
    <row r="758" spans="1:5" x14ac:dyDescent="0.2">
      <c r="A758" s="93"/>
      <c r="B758" s="94"/>
      <c r="C758" s="93"/>
      <c r="D758" s="94"/>
      <c r="E758" s="94"/>
    </row>
    <row r="759" spans="1:5" ht="13.5" thickBot="1" x14ac:dyDescent="0.25">
      <c r="A759" s="137" t="s">
        <v>318</v>
      </c>
      <c r="B759" s="358"/>
      <c r="C759" s="359"/>
      <c r="D759" s="360"/>
      <c r="E759" s="94"/>
    </row>
    <row r="760" spans="1:5" ht="13.5" thickTop="1" x14ac:dyDescent="0.2">
      <c r="A760" s="97" t="s">
        <v>319</v>
      </c>
      <c r="B760" s="98">
        <v>1</v>
      </c>
      <c r="C760" s="330" t="s">
        <v>24</v>
      </c>
      <c r="D760" s="98">
        <v>2700</v>
      </c>
      <c r="E760" s="116">
        <f>ROUND(B760*D760,2)</f>
        <v>2700</v>
      </c>
    </row>
    <row r="761" spans="1:5" x14ac:dyDescent="0.2">
      <c r="A761" s="107" t="s">
        <v>320</v>
      </c>
      <c r="B761" s="108">
        <v>1</v>
      </c>
      <c r="C761" s="331" t="s">
        <v>310</v>
      </c>
      <c r="D761" s="108">
        <v>1800</v>
      </c>
      <c r="E761" s="106">
        <f>ROUND(B761*D761,2)</f>
        <v>1800</v>
      </c>
    </row>
    <row r="762" spans="1:5" x14ac:dyDescent="0.2">
      <c r="A762" s="107" t="s">
        <v>321</v>
      </c>
      <c r="B762" s="108">
        <v>1</v>
      </c>
      <c r="C762" s="331" t="s">
        <v>310</v>
      </c>
      <c r="D762" s="108">
        <v>1800</v>
      </c>
      <c r="E762" s="106">
        <f>ROUND(B762*D762,2)</f>
        <v>1800</v>
      </c>
    </row>
    <row r="763" spans="1:5" x14ac:dyDescent="0.2">
      <c r="A763" s="107" t="s">
        <v>322</v>
      </c>
      <c r="B763" s="108">
        <v>3</v>
      </c>
      <c r="C763" s="331" t="s">
        <v>23</v>
      </c>
      <c r="D763" s="108">
        <v>250.2</v>
      </c>
      <c r="E763" s="106">
        <f>ROUND(B763*D763,2)</f>
        <v>750.6</v>
      </c>
    </row>
    <row r="764" spans="1:5" x14ac:dyDescent="0.2">
      <c r="A764" s="107" t="s">
        <v>323</v>
      </c>
      <c r="B764" s="108">
        <v>20</v>
      </c>
      <c r="C764" s="331" t="s">
        <v>13</v>
      </c>
      <c r="D764" s="108">
        <f>E763</f>
        <v>750.6</v>
      </c>
      <c r="E764" s="106">
        <f>ROUND(B764*D764,2)/100</f>
        <v>150.12</v>
      </c>
    </row>
    <row r="765" spans="1:5" ht="13.5" thickBot="1" x14ac:dyDescent="0.25">
      <c r="A765" s="117" t="s">
        <v>324</v>
      </c>
      <c r="B765" s="128">
        <v>20</v>
      </c>
      <c r="C765" s="332" t="s">
        <v>13</v>
      </c>
      <c r="D765" s="368">
        <f>SUM(E760:E764)</f>
        <v>7200.72</v>
      </c>
      <c r="E765" s="106">
        <f>ROUND(B765*D765,2)/100</f>
        <v>1440.144</v>
      </c>
    </row>
    <row r="766" spans="1:5" ht="13.5" thickTop="1" x14ac:dyDescent="0.2">
      <c r="A766" s="97"/>
      <c r="B766" s="98"/>
      <c r="C766" s="369"/>
      <c r="D766" s="370" t="s">
        <v>325</v>
      </c>
      <c r="E766" s="171">
        <f>SUM(E760:E765)</f>
        <v>8640.8639999999996</v>
      </c>
    </row>
    <row r="767" spans="1:5" ht="13.5" thickBot="1" x14ac:dyDescent="0.25">
      <c r="A767" s="117"/>
      <c r="B767" s="128"/>
      <c r="C767" s="223"/>
      <c r="D767" s="371" t="s">
        <v>326</v>
      </c>
      <c r="E767" s="156">
        <f>E766/8</f>
        <v>1080.1079999999999</v>
      </c>
    </row>
    <row r="768" spans="1:5" ht="13.5" thickTop="1" x14ac:dyDescent="0.2">
      <c r="A768" s="93"/>
      <c r="B768" s="94"/>
      <c r="C768" s="93"/>
      <c r="D768" s="94"/>
      <c r="E768" s="94"/>
    </row>
    <row r="769" spans="1:5" ht="13.5" thickBot="1" x14ac:dyDescent="0.25">
      <c r="A769" s="137" t="s">
        <v>327</v>
      </c>
      <c r="B769" s="94"/>
      <c r="C769" s="93"/>
      <c r="D769" s="94"/>
      <c r="E769" s="94"/>
    </row>
    <row r="770" spans="1:5" ht="13.5" thickTop="1" x14ac:dyDescent="0.2">
      <c r="A770" s="97" t="s">
        <v>328</v>
      </c>
      <c r="B770" s="98">
        <v>1</v>
      </c>
      <c r="C770" s="330" t="s">
        <v>151</v>
      </c>
      <c r="D770" s="98">
        <v>1100</v>
      </c>
      <c r="E770" s="116">
        <f>ROUND(B770*D770,2)</f>
        <v>1100</v>
      </c>
    </row>
    <row r="771" spans="1:5" x14ac:dyDescent="0.2">
      <c r="A771" s="107" t="s">
        <v>329</v>
      </c>
      <c r="B771" s="108">
        <v>1</v>
      </c>
      <c r="C771" s="331" t="s">
        <v>330</v>
      </c>
      <c r="D771" s="108">
        <v>700</v>
      </c>
      <c r="E771" s="106">
        <f>ROUND(B771*D771,2)</f>
        <v>700</v>
      </c>
    </row>
    <row r="772" spans="1:5" ht="13.5" thickBot="1" x14ac:dyDescent="0.25">
      <c r="A772" s="107" t="s">
        <v>331</v>
      </c>
      <c r="B772" s="108">
        <v>1</v>
      </c>
      <c r="C772" s="331" t="s">
        <v>330</v>
      </c>
      <c r="D772" s="108">
        <v>1271.25</v>
      </c>
      <c r="E772" s="106">
        <f>ROUND(B772*D772,2)</f>
        <v>1271.25</v>
      </c>
    </row>
    <row r="773" spans="1:5" ht="13.5" thickTop="1" x14ac:dyDescent="0.2">
      <c r="A773" s="97"/>
      <c r="B773" s="98"/>
      <c r="C773" s="369"/>
      <c r="D773" s="370" t="s">
        <v>325</v>
      </c>
      <c r="E773" s="171">
        <f>SUM(E770:E772)</f>
        <v>3071.25</v>
      </c>
    </row>
    <row r="774" spans="1:5" ht="13.5" thickBot="1" x14ac:dyDescent="0.25">
      <c r="A774" s="117"/>
      <c r="B774" s="128"/>
      <c r="C774" s="223"/>
      <c r="D774" s="371" t="s">
        <v>326</v>
      </c>
      <c r="E774" s="156">
        <f>ROUND(E773/8,2)</f>
        <v>383.91</v>
      </c>
    </row>
    <row r="775" spans="1:5" ht="13.5" thickTop="1" x14ac:dyDescent="0.2">
      <c r="A775" s="93"/>
      <c r="B775" s="94"/>
      <c r="C775" s="93"/>
      <c r="D775" s="94"/>
      <c r="E775" s="94"/>
    </row>
    <row r="776" spans="1:5" ht="15.75" x14ac:dyDescent="0.25">
      <c r="A776" s="1606" t="s">
        <v>332</v>
      </c>
      <c r="B776" s="1606"/>
      <c r="C776" s="1606"/>
      <c r="D776" s="1606"/>
      <c r="E776" s="1606"/>
    </row>
    <row r="777" spans="1:5" x14ac:dyDescent="0.2">
      <c r="A777" s="322"/>
      <c r="B777" s="323"/>
      <c r="C777" s="322"/>
      <c r="D777" s="323"/>
      <c r="E777" s="323"/>
    </row>
    <row r="778" spans="1:5" ht="13.5" thickBot="1" x14ac:dyDescent="0.25">
      <c r="A778" s="1607" t="s">
        <v>333</v>
      </c>
      <c r="B778" s="1607"/>
      <c r="C778" s="1607"/>
      <c r="D778" s="1607"/>
      <c r="E778" s="1607"/>
    </row>
    <row r="779" spans="1:5" ht="13.5" thickTop="1" x14ac:dyDescent="0.2">
      <c r="A779" s="372" t="s">
        <v>334</v>
      </c>
      <c r="B779" s="373"/>
      <c r="C779" s="374"/>
      <c r="D779" s="373"/>
      <c r="E779" s="375"/>
    </row>
    <row r="780" spans="1:5" x14ac:dyDescent="0.2">
      <c r="A780" s="376" t="s">
        <v>335</v>
      </c>
      <c r="B780" s="377">
        <v>1</v>
      </c>
      <c r="C780" s="378" t="s">
        <v>336</v>
      </c>
      <c r="D780" s="379">
        <v>187.5</v>
      </c>
      <c r="E780" s="106">
        <f>ROUND(B780*D780,2)</f>
        <v>187.5</v>
      </c>
    </row>
    <row r="781" spans="1:5" x14ac:dyDescent="0.2">
      <c r="A781" s="376" t="s">
        <v>337</v>
      </c>
      <c r="B781" s="377">
        <v>1</v>
      </c>
      <c r="C781" s="378" t="s">
        <v>336</v>
      </c>
      <c r="D781" s="379">
        <v>812.5</v>
      </c>
      <c r="E781" s="106">
        <f>ROUND(B781*D781,2)</f>
        <v>812.5</v>
      </c>
    </row>
    <row r="782" spans="1:5" x14ac:dyDescent="0.2">
      <c r="A782" s="376" t="s">
        <v>338</v>
      </c>
      <c r="B782" s="377">
        <v>3</v>
      </c>
      <c r="C782" s="378" t="s">
        <v>13</v>
      </c>
      <c r="D782" s="379">
        <f>SUM(E780:E781)</f>
        <v>1000</v>
      </c>
      <c r="E782" s="106">
        <f>ROUND(B782*D782,2)/100</f>
        <v>30</v>
      </c>
    </row>
    <row r="783" spans="1:5" x14ac:dyDescent="0.2">
      <c r="A783" s="376" t="s">
        <v>339</v>
      </c>
      <c r="B783" s="380">
        <v>4.5750000000000002</v>
      </c>
      <c r="C783" s="378" t="s">
        <v>340</v>
      </c>
      <c r="D783" s="379"/>
      <c r="E783" s="381">
        <f>SUM(E780:E782)</f>
        <v>1030</v>
      </c>
    </row>
    <row r="784" spans="1:5" ht="13.5" thickBot="1" x14ac:dyDescent="0.25">
      <c r="A784" s="382"/>
      <c r="B784" s="383"/>
      <c r="C784" s="384"/>
      <c r="D784" s="309" t="s">
        <v>273</v>
      </c>
      <c r="E784" s="385">
        <f>ROUND(E783/B783,2)</f>
        <v>225.14</v>
      </c>
    </row>
    <row r="785" spans="1:5" ht="13.5" thickTop="1" x14ac:dyDescent="0.2">
      <c r="A785" s="322"/>
      <c r="B785" s="323"/>
      <c r="C785" s="322"/>
      <c r="D785" s="323"/>
      <c r="E785" s="323"/>
    </row>
    <row r="786" spans="1:5" ht="13.5" thickBot="1" x14ac:dyDescent="0.25">
      <c r="A786" s="1607" t="s">
        <v>341</v>
      </c>
      <c r="B786" s="1607"/>
      <c r="C786" s="1607"/>
      <c r="D786" s="1607"/>
      <c r="E786" s="1607"/>
    </row>
    <row r="787" spans="1:5" ht="13.5" thickTop="1" x14ac:dyDescent="0.2">
      <c r="A787" s="372" t="s">
        <v>334</v>
      </c>
      <c r="B787" s="373"/>
      <c r="C787" s="374"/>
      <c r="D787" s="373"/>
      <c r="E787" s="375"/>
    </row>
    <row r="788" spans="1:5" x14ac:dyDescent="0.2">
      <c r="A788" s="376" t="s">
        <v>335</v>
      </c>
      <c r="B788" s="377">
        <v>1</v>
      </c>
      <c r="C788" s="378" t="s">
        <v>336</v>
      </c>
      <c r="D788" s="379">
        <v>187.5</v>
      </c>
      <c r="E788" s="106">
        <f>ROUND(B788*D788,2)</f>
        <v>187.5</v>
      </c>
    </row>
    <row r="789" spans="1:5" x14ac:dyDescent="0.2">
      <c r="A789" s="376" t="s">
        <v>342</v>
      </c>
      <c r="B789" s="377">
        <v>1</v>
      </c>
      <c r="C789" s="378" t="s">
        <v>336</v>
      </c>
      <c r="D789" s="379">
        <v>812.5</v>
      </c>
      <c r="E789" s="106">
        <f>ROUND(B789*D789,2)</f>
        <v>812.5</v>
      </c>
    </row>
    <row r="790" spans="1:5" x14ac:dyDescent="0.2">
      <c r="A790" s="376" t="s">
        <v>338</v>
      </c>
      <c r="B790" s="377">
        <v>3</v>
      </c>
      <c r="C790" s="378" t="s">
        <v>13</v>
      </c>
      <c r="D790" s="379">
        <f>SUM(E788:E789)</f>
        <v>1000</v>
      </c>
      <c r="E790" s="106">
        <f>ROUND(B790*D790,2)/100</f>
        <v>30</v>
      </c>
    </row>
    <row r="791" spans="1:5" x14ac:dyDescent="0.2">
      <c r="A791" s="376" t="s">
        <v>339</v>
      </c>
      <c r="B791" s="380">
        <v>4.5750000000000002</v>
      </c>
      <c r="C791" s="378" t="s">
        <v>340</v>
      </c>
      <c r="D791" s="379"/>
      <c r="E791" s="381">
        <f>SUM(E788:E790)</f>
        <v>1030</v>
      </c>
    </row>
    <row r="792" spans="1:5" ht="13.5" thickBot="1" x14ac:dyDescent="0.25">
      <c r="A792" s="382"/>
      <c r="B792" s="383"/>
      <c r="C792" s="384"/>
      <c r="D792" s="309" t="s">
        <v>273</v>
      </c>
      <c r="E792" s="385">
        <f>ROUND(E791/B791,2)</f>
        <v>225.14</v>
      </c>
    </row>
    <row r="793" spans="1:5" ht="13.5" thickTop="1" x14ac:dyDescent="0.2">
      <c r="A793" s="322"/>
      <c r="B793" s="323"/>
      <c r="C793" s="322"/>
      <c r="D793" s="323"/>
      <c r="E793" s="323"/>
    </row>
    <row r="794" spans="1:5" ht="13.5" thickBot="1" x14ac:dyDescent="0.25">
      <c r="A794" s="1607" t="s">
        <v>343</v>
      </c>
      <c r="B794" s="1607"/>
      <c r="C794" s="1607"/>
      <c r="D794" s="1607"/>
      <c r="E794" s="1607"/>
    </row>
    <row r="795" spans="1:5" ht="13.5" thickTop="1" x14ac:dyDescent="0.2">
      <c r="A795" s="97" t="s">
        <v>344</v>
      </c>
      <c r="B795" s="98">
        <v>1</v>
      </c>
      <c r="C795" s="330" t="s">
        <v>336</v>
      </c>
      <c r="D795" s="98">
        <v>1229.5999999999999</v>
      </c>
      <c r="E795" s="116">
        <f>ROUND(B795*D795,2)</f>
        <v>1229.5999999999999</v>
      </c>
    </row>
    <row r="796" spans="1:5" x14ac:dyDescent="0.2">
      <c r="A796" s="107" t="s">
        <v>345</v>
      </c>
      <c r="B796" s="108">
        <v>3.2</v>
      </c>
      <c r="C796" s="331" t="s">
        <v>346</v>
      </c>
      <c r="D796" s="108">
        <v>203.6</v>
      </c>
      <c r="E796" s="106">
        <f>ROUND(B796*D796,2)</f>
        <v>651.52</v>
      </c>
    </row>
    <row r="797" spans="1:5" x14ac:dyDescent="0.2">
      <c r="A797" s="107" t="s">
        <v>347</v>
      </c>
      <c r="B797" s="108">
        <v>20</v>
      </c>
      <c r="C797" s="331" t="s">
        <v>13</v>
      </c>
      <c r="D797" s="108">
        <f>E796</f>
        <v>651.52</v>
      </c>
      <c r="E797" s="106">
        <f>ROUND(B797*D797,2)/100</f>
        <v>130.304</v>
      </c>
    </row>
    <row r="798" spans="1:5" x14ac:dyDescent="0.2">
      <c r="A798" s="107" t="s">
        <v>348</v>
      </c>
      <c r="B798" s="108">
        <v>1</v>
      </c>
      <c r="C798" s="331" t="s">
        <v>336</v>
      </c>
      <c r="D798" s="108">
        <v>162.5</v>
      </c>
      <c r="E798" s="106">
        <f>ROUND(B798*D798,2)</f>
        <v>162.5</v>
      </c>
    </row>
    <row r="799" spans="1:5" x14ac:dyDescent="0.2">
      <c r="A799" s="107"/>
      <c r="B799" s="108"/>
      <c r="C799" s="331"/>
      <c r="D799" s="386" t="s">
        <v>349</v>
      </c>
      <c r="E799" s="387">
        <f>SUM(E795:E798)</f>
        <v>2173.924</v>
      </c>
    </row>
    <row r="800" spans="1:5" ht="13.5" thickBot="1" x14ac:dyDescent="0.25">
      <c r="A800" s="117" t="s">
        <v>350</v>
      </c>
      <c r="B800" s="128">
        <v>24.33</v>
      </c>
      <c r="C800" s="332" t="s">
        <v>351</v>
      </c>
      <c r="D800" s="309" t="s">
        <v>273</v>
      </c>
      <c r="E800" s="156">
        <f>ROUND(E799/B800,2)</f>
        <v>89.35</v>
      </c>
    </row>
    <row r="801" spans="1:5" ht="13.5" thickTop="1" x14ac:dyDescent="0.2">
      <c r="A801" s="322"/>
      <c r="B801" s="323"/>
      <c r="C801" s="322"/>
      <c r="D801" s="323"/>
      <c r="E801" s="323"/>
    </row>
    <row r="802" spans="1:5" ht="13.5" thickBot="1" x14ac:dyDescent="0.25">
      <c r="A802" s="1570" t="s">
        <v>352</v>
      </c>
      <c r="B802" s="1571"/>
      <c r="C802" s="1571"/>
      <c r="D802" s="1571"/>
      <c r="E802" s="1571"/>
    </row>
    <row r="803" spans="1:5" ht="13.5" thickTop="1" x14ac:dyDescent="0.2">
      <c r="A803" s="388" t="s">
        <v>345</v>
      </c>
      <c r="B803" s="389">
        <v>5.12</v>
      </c>
      <c r="C803" s="390" t="s">
        <v>353</v>
      </c>
      <c r="D803" s="391">
        <v>203.6</v>
      </c>
      <c r="E803" s="116">
        <f>ROUND(B803*D803,2)</f>
        <v>1042.43</v>
      </c>
    </row>
    <row r="804" spans="1:5" x14ac:dyDescent="0.2">
      <c r="A804" s="392" t="s">
        <v>354</v>
      </c>
      <c r="B804" s="393">
        <v>20</v>
      </c>
      <c r="C804" s="394" t="s">
        <v>13</v>
      </c>
      <c r="D804" s="395">
        <f>E803</f>
        <v>1042.43</v>
      </c>
      <c r="E804" s="106">
        <f>ROUND(B804*D804,2)/100</f>
        <v>208.48599999999999</v>
      </c>
    </row>
    <row r="805" spans="1:5" x14ac:dyDescent="0.2">
      <c r="A805" s="392" t="s">
        <v>355</v>
      </c>
      <c r="B805" s="393">
        <v>1</v>
      </c>
      <c r="C805" s="394" t="s">
        <v>336</v>
      </c>
      <c r="D805" s="395">
        <v>162.5</v>
      </c>
      <c r="E805" s="106">
        <f>ROUND(B805*D805,2)</f>
        <v>162.5</v>
      </c>
    </row>
    <row r="806" spans="1:5" x14ac:dyDescent="0.2">
      <c r="A806" s="392" t="s">
        <v>356</v>
      </c>
      <c r="B806" s="393">
        <v>1</v>
      </c>
      <c r="C806" s="394" t="s">
        <v>24</v>
      </c>
      <c r="D806" s="395">
        <v>85</v>
      </c>
      <c r="E806" s="106">
        <f>ROUND(B806*D806,2)</f>
        <v>85</v>
      </c>
    </row>
    <row r="807" spans="1:5" ht="13.5" thickBot="1" x14ac:dyDescent="0.25">
      <c r="A807" s="396" t="s">
        <v>357</v>
      </c>
      <c r="B807" s="397">
        <v>1</v>
      </c>
      <c r="C807" s="398" t="s">
        <v>336</v>
      </c>
      <c r="D807" s="399">
        <v>3539.37</v>
      </c>
      <c r="E807" s="400">
        <f>ROUND(B807*D807,2)</f>
        <v>3539.37</v>
      </c>
    </row>
    <row r="808" spans="1:5" ht="13.5" thickTop="1" x14ac:dyDescent="0.2">
      <c r="A808" s="401"/>
      <c r="B808" s="402"/>
      <c r="C808" s="403"/>
      <c r="D808" s="404" t="s">
        <v>349</v>
      </c>
      <c r="E808" s="405">
        <f>SUM(E803:E807)</f>
        <v>5037.7860000000001</v>
      </c>
    </row>
    <row r="809" spans="1:5" ht="13.5" thickBot="1" x14ac:dyDescent="0.25">
      <c r="A809" s="117" t="s">
        <v>350</v>
      </c>
      <c r="B809" s="128">
        <v>38.93</v>
      </c>
      <c r="C809" s="332" t="s">
        <v>351</v>
      </c>
      <c r="D809" s="309" t="s">
        <v>273</v>
      </c>
      <c r="E809" s="156">
        <f>ROUND(E808/B809,2)</f>
        <v>129.41</v>
      </c>
    </row>
    <row r="810" spans="1:5" ht="13.5" thickTop="1" x14ac:dyDescent="0.2">
      <c r="A810" s="157" t="s">
        <v>358</v>
      </c>
      <c r="B810" s="98">
        <v>64</v>
      </c>
      <c r="C810" s="330" t="s">
        <v>351</v>
      </c>
      <c r="D810" s="98"/>
      <c r="E810" s="159">
        <f>ROUND(E808/B810,2)</f>
        <v>78.72</v>
      </c>
    </row>
    <row r="811" spans="1:5" ht="13.5" thickBot="1" x14ac:dyDescent="0.25">
      <c r="A811" s="153" t="s">
        <v>359</v>
      </c>
      <c r="B811" s="128">
        <v>25.13</v>
      </c>
      <c r="C811" s="406" t="s">
        <v>351</v>
      </c>
      <c r="D811" s="128"/>
      <c r="E811" s="156">
        <f>ROUND(E808/B811,2)</f>
        <v>200.47</v>
      </c>
    </row>
    <row r="812" spans="1:5" ht="13.5" thickTop="1" x14ac:dyDescent="0.2">
      <c r="A812" s="322"/>
      <c r="B812" s="323"/>
      <c r="C812" s="322"/>
      <c r="D812" s="323"/>
      <c r="E812" s="323"/>
    </row>
    <row r="813" spans="1:5" ht="13.5" thickBot="1" x14ac:dyDescent="0.25">
      <c r="A813" s="1570" t="s">
        <v>360</v>
      </c>
      <c r="B813" s="1571"/>
      <c r="C813" s="1571"/>
      <c r="D813" s="1571"/>
      <c r="E813" s="1571"/>
    </row>
    <row r="814" spans="1:5" ht="13.5" thickTop="1" x14ac:dyDescent="0.2">
      <c r="A814" s="407" t="s">
        <v>345</v>
      </c>
      <c r="B814" s="389">
        <v>12</v>
      </c>
      <c r="C814" s="390" t="s">
        <v>353</v>
      </c>
      <c r="D814" s="391">
        <f>218*1.04</f>
        <v>226.72</v>
      </c>
      <c r="E814" s="116">
        <f>ROUND(B814*D814,2)</f>
        <v>2720.64</v>
      </c>
    </row>
    <row r="815" spans="1:5" x14ac:dyDescent="0.2">
      <c r="A815" s="408" t="s">
        <v>354</v>
      </c>
      <c r="B815" s="393">
        <v>20</v>
      </c>
      <c r="C815" s="394" t="s">
        <v>13</v>
      </c>
      <c r="D815" s="395">
        <f>E814</f>
        <v>2720.64</v>
      </c>
      <c r="E815" s="106">
        <f>ROUND(B815*D815,2)/100</f>
        <v>544.12800000000004</v>
      </c>
    </row>
    <row r="816" spans="1:5" x14ac:dyDescent="0.2">
      <c r="A816" s="392" t="s">
        <v>355</v>
      </c>
      <c r="B816" s="393">
        <v>1</v>
      </c>
      <c r="C816" s="394" t="s">
        <v>336</v>
      </c>
      <c r="D816" s="395">
        <v>162.5</v>
      </c>
      <c r="E816" s="106">
        <f>ROUND(B816*D816,2)</f>
        <v>162.5</v>
      </c>
    </row>
    <row r="817" spans="1:5" ht="13.5" thickBot="1" x14ac:dyDescent="0.25">
      <c r="A817" s="396" t="s">
        <v>357</v>
      </c>
      <c r="B817" s="397">
        <v>1</v>
      </c>
      <c r="C817" s="398" t="s">
        <v>336</v>
      </c>
      <c r="D817" s="399">
        <v>3888.82</v>
      </c>
      <c r="E817" s="400">
        <f>ROUND(B817*D817,2)</f>
        <v>3888.82</v>
      </c>
    </row>
    <row r="818" spans="1:5" ht="13.5" thickTop="1" x14ac:dyDescent="0.2">
      <c r="A818" s="401"/>
      <c r="B818" s="402"/>
      <c r="C818" s="403"/>
      <c r="D818" s="404" t="s">
        <v>349</v>
      </c>
      <c r="E818" s="405">
        <f>SUM(E814:E817)</f>
        <v>7316.0879999999997</v>
      </c>
    </row>
    <row r="819" spans="1:5" ht="13.5" thickBot="1" x14ac:dyDescent="0.25">
      <c r="A819" s="117" t="s">
        <v>350</v>
      </c>
      <c r="B819" s="128">
        <v>120</v>
      </c>
      <c r="C819" s="332" t="s">
        <v>351</v>
      </c>
      <c r="D819" s="309" t="s">
        <v>273</v>
      </c>
      <c r="E819" s="156">
        <f>ROUND(E818/B819,2)</f>
        <v>60.97</v>
      </c>
    </row>
    <row r="820" spans="1:5" ht="13.5" thickTop="1" x14ac:dyDescent="0.2">
      <c r="A820" s="322"/>
      <c r="B820" s="323"/>
      <c r="C820" s="322"/>
      <c r="D820" s="323"/>
      <c r="E820" s="323"/>
    </row>
    <row r="821" spans="1:5" ht="13.5" thickBot="1" x14ac:dyDescent="0.25">
      <c r="A821" s="409" t="s">
        <v>361</v>
      </c>
      <c r="B821" s="410" t="s">
        <v>362</v>
      </c>
      <c r="C821" s="93">
        <v>6</v>
      </c>
      <c r="D821" s="94" t="s">
        <v>363</v>
      </c>
      <c r="E821" s="411">
        <v>2</v>
      </c>
    </row>
    <row r="822" spans="1:5" ht="13.5" thickTop="1" x14ac:dyDescent="0.2">
      <c r="A822" s="97" t="s">
        <v>364</v>
      </c>
      <c r="B822" s="98">
        <v>1</v>
      </c>
      <c r="C822" s="330" t="s">
        <v>10</v>
      </c>
      <c r="D822" s="98">
        <v>900</v>
      </c>
      <c r="E822" s="116">
        <f>ROUND(B822*D822,2)</f>
        <v>900</v>
      </c>
    </row>
    <row r="823" spans="1:5" x14ac:dyDescent="0.2">
      <c r="A823" s="107" t="s">
        <v>365</v>
      </c>
      <c r="B823" s="108">
        <v>1</v>
      </c>
      <c r="C823" s="331" t="s">
        <v>10</v>
      </c>
      <c r="D823" s="108">
        <v>109.83</v>
      </c>
      <c r="E823" s="106">
        <f>ROUND(B823*D823,2)</f>
        <v>109.83</v>
      </c>
    </row>
    <row r="824" spans="1:5" x14ac:dyDescent="0.2">
      <c r="A824" s="376" t="s">
        <v>338</v>
      </c>
      <c r="B824" s="108">
        <v>3</v>
      </c>
      <c r="C824" s="331" t="s">
        <v>13</v>
      </c>
      <c r="D824" s="108">
        <f>E823</f>
        <v>109.83</v>
      </c>
      <c r="E824" s="106">
        <f>ROUND(B824*D824,2)/100</f>
        <v>3.2949000000000002</v>
      </c>
    </row>
    <row r="825" spans="1:5" ht="13.5" thickBot="1" x14ac:dyDescent="0.25">
      <c r="A825" s="117"/>
      <c r="B825" s="128"/>
      <c r="C825" s="332"/>
      <c r="D825" s="309" t="s">
        <v>273</v>
      </c>
      <c r="E825" s="118">
        <f>SUM(E822:E824)</f>
        <v>1013.1249</v>
      </c>
    </row>
    <row r="826" spans="1:5" ht="13.5" thickTop="1" x14ac:dyDescent="0.2">
      <c r="A826" s="322"/>
      <c r="B826" s="323"/>
      <c r="C826" s="322"/>
      <c r="D826" s="323"/>
      <c r="E826" s="323"/>
    </row>
    <row r="827" spans="1:5" ht="13.5" thickBot="1" x14ac:dyDescent="0.25">
      <c r="A827" s="137" t="s">
        <v>366</v>
      </c>
      <c r="B827" s="412">
        <v>162</v>
      </c>
      <c r="C827" s="413" t="s">
        <v>16</v>
      </c>
      <c r="D827" s="323"/>
      <c r="E827" s="323"/>
    </row>
    <row r="828" spans="1:5" ht="13.5" thickTop="1" x14ac:dyDescent="0.2">
      <c r="A828" s="97" t="s">
        <v>367</v>
      </c>
      <c r="B828" s="98">
        <v>1</v>
      </c>
      <c r="C828" s="330" t="s">
        <v>310</v>
      </c>
      <c r="D828" s="98">
        <v>1500</v>
      </c>
      <c r="E828" s="101">
        <f>ROUND(B828*D828,2)</f>
        <v>1500</v>
      </c>
    </row>
    <row r="829" spans="1:5" x14ac:dyDescent="0.2">
      <c r="A829" s="107" t="s">
        <v>368</v>
      </c>
      <c r="B829" s="108">
        <v>1</v>
      </c>
      <c r="C829" s="331" t="s">
        <v>310</v>
      </c>
      <c r="D829" s="108">
        <v>3250</v>
      </c>
      <c r="E829" s="106">
        <f>ROUND(B829*D829,2)</f>
        <v>3250</v>
      </c>
    </row>
    <row r="830" spans="1:5" x14ac:dyDescent="0.2">
      <c r="A830" s="107" t="s">
        <v>369</v>
      </c>
      <c r="B830" s="108">
        <v>3</v>
      </c>
      <c r="C830" s="331" t="s">
        <v>13</v>
      </c>
      <c r="D830" s="108">
        <f>SUM(E828:E829)</f>
        <v>4750</v>
      </c>
      <c r="E830" s="106">
        <f>ROUND(B830*D830,2)/100</f>
        <v>142.5</v>
      </c>
    </row>
    <row r="831" spans="1:5" ht="13.5" thickBot="1" x14ac:dyDescent="0.25">
      <c r="A831" s="117"/>
      <c r="B831" s="128"/>
      <c r="C831" s="223"/>
      <c r="D831" s="309" t="s">
        <v>370</v>
      </c>
      <c r="E831" s="118">
        <f>SUM(E828:E830)</f>
        <v>4892.5</v>
      </c>
    </row>
    <row r="832" spans="1:5" ht="13.5" thickTop="1" x14ac:dyDescent="0.2">
      <c r="A832" s="97"/>
      <c r="B832" s="98"/>
      <c r="C832" s="369"/>
      <c r="D832" s="414" t="s">
        <v>371</v>
      </c>
      <c r="E832" s="152">
        <f>ROUND(E831/B828,2)</f>
        <v>4892.5</v>
      </c>
    </row>
    <row r="833" spans="1:6" ht="13.5" thickBot="1" x14ac:dyDescent="0.25">
      <c r="A833" s="117"/>
      <c r="B833" s="128"/>
      <c r="C833" s="223"/>
      <c r="D833" s="309" t="s">
        <v>372</v>
      </c>
      <c r="E833" s="118">
        <f>ROUND(E831/B827,2)</f>
        <v>30.2</v>
      </c>
    </row>
    <row r="834" spans="1:6" s="1447" customFormat="1" ht="13.5" thickTop="1" x14ac:dyDescent="0.2">
      <c r="A834" s="119"/>
      <c r="B834" s="122"/>
      <c r="C834" s="119"/>
      <c r="D834" s="355"/>
      <c r="E834" s="123"/>
      <c r="F834" s="1025"/>
    </row>
    <row r="835" spans="1:6" s="1447" customFormat="1" ht="25.5" customHeight="1" x14ac:dyDescent="0.2">
      <c r="A835" s="1576" t="s">
        <v>838</v>
      </c>
      <c r="B835" s="1577"/>
      <c r="C835" s="1577"/>
      <c r="D835" s="1577"/>
      <c r="E835" s="1578"/>
      <c r="F835" s="1025"/>
    </row>
    <row r="836" spans="1:6" s="1447" customFormat="1" x14ac:dyDescent="0.2">
      <c r="A836" s="1450"/>
      <c r="B836" s="1451" t="s">
        <v>111</v>
      </c>
      <c r="C836" s="1451" t="s">
        <v>538</v>
      </c>
      <c r="D836" s="1451" t="s">
        <v>539</v>
      </c>
      <c r="E836" s="1451" t="s">
        <v>540</v>
      </c>
      <c r="F836" s="1025"/>
    </row>
    <row r="837" spans="1:6" s="1447" customFormat="1" x14ac:dyDescent="0.2">
      <c r="A837" s="1452" t="s">
        <v>763</v>
      </c>
      <c r="B837" s="1453">
        <v>1</v>
      </c>
      <c r="C837" s="1454" t="s">
        <v>764</v>
      </c>
      <c r="D837" s="1455">
        <v>2200</v>
      </c>
      <c r="E837" s="1455">
        <f t="shared" ref="E837:E842" si="18">+D837*B837</f>
        <v>2200</v>
      </c>
      <c r="F837" s="1025"/>
    </row>
    <row r="838" spans="1:6" s="1447" customFormat="1" x14ac:dyDescent="0.2">
      <c r="A838" s="1456" t="s">
        <v>839</v>
      </c>
      <c r="B838" s="1457">
        <v>1</v>
      </c>
      <c r="C838" s="1454" t="s">
        <v>764</v>
      </c>
      <c r="D838" s="1455">
        <v>750</v>
      </c>
      <c r="E838" s="1455">
        <f t="shared" si="18"/>
        <v>750</v>
      </c>
      <c r="F838" s="1025"/>
    </row>
    <row r="839" spans="1:6" s="1447" customFormat="1" x14ac:dyDescent="0.2">
      <c r="A839" s="1456" t="s">
        <v>840</v>
      </c>
      <c r="B839" s="1457">
        <v>1</v>
      </c>
      <c r="C839" s="1454" t="s">
        <v>764</v>
      </c>
      <c r="D839" s="1455">
        <v>659</v>
      </c>
      <c r="E839" s="1455">
        <f t="shared" si="18"/>
        <v>659</v>
      </c>
      <c r="F839" s="1025"/>
    </row>
    <row r="840" spans="1:6" s="1447" customFormat="1" x14ac:dyDescent="0.2">
      <c r="A840" s="1456" t="s">
        <v>766</v>
      </c>
      <c r="B840" s="1457">
        <v>1</v>
      </c>
      <c r="C840" s="1454" t="s">
        <v>764</v>
      </c>
      <c r="D840" s="1455">
        <v>659</v>
      </c>
      <c r="E840" s="1455">
        <f t="shared" si="18"/>
        <v>659</v>
      </c>
      <c r="F840" s="1025"/>
    </row>
    <row r="841" spans="1:6" s="1447" customFormat="1" x14ac:dyDescent="0.2">
      <c r="A841" s="1456" t="s">
        <v>767</v>
      </c>
      <c r="B841" s="1457">
        <v>1</v>
      </c>
      <c r="C841" s="1454" t="s">
        <v>764</v>
      </c>
      <c r="D841" s="1455">
        <v>659</v>
      </c>
      <c r="E841" s="1455">
        <f t="shared" si="18"/>
        <v>659</v>
      </c>
      <c r="F841" s="1025"/>
    </row>
    <row r="842" spans="1:6" s="1447" customFormat="1" x14ac:dyDescent="0.2">
      <c r="A842" s="1456" t="s">
        <v>768</v>
      </c>
      <c r="B842" s="1457">
        <v>0.03</v>
      </c>
      <c r="C842" s="1454" t="s">
        <v>764</v>
      </c>
      <c r="D842" s="1455">
        <f>+E839+E840+E841</f>
        <v>1977</v>
      </c>
      <c r="E842" s="1455">
        <f t="shared" si="18"/>
        <v>59.309999999999995</v>
      </c>
      <c r="F842" s="1025"/>
    </row>
    <row r="843" spans="1:6" s="1447" customFormat="1" x14ac:dyDescent="0.2">
      <c r="A843" s="1450"/>
      <c r="B843" s="1450"/>
      <c r="C843" s="1454"/>
      <c r="D843" s="1458" t="s">
        <v>735</v>
      </c>
      <c r="E843" s="1459">
        <f>SUM(E837:E842)</f>
        <v>4986.3100000000004</v>
      </c>
      <c r="F843" s="1025"/>
    </row>
    <row r="844" spans="1:6" s="1447" customFormat="1" x14ac:dyDescent="0.2">
      <c r="A844" s="1460" t="s">
        <v>350</v>
      </c>
      <c r="B844" s="1459">
        <f>32*0.85</f>
        <v>27.2</v>
      </c>
      <c r="C844" s="1459" t="s">
        <v>650</v>
      </c>
      <c r="D844" s="1461"/>
      <c r="E844" s="1461"/>
      <c r="F844" s="1025"/>
    </row>
    <row r="845" spans="1:6" s="1447" customFormat="1" x14ac:dyDescent="0.2">
      <c r="A845" s="1462"/>
      <c r="B845" s="1461"/>
      <c r="C845" s="1461"/>
      <c r="D845" s="1458" t="s">
        <v>769</v>
      </c>
      <c r="E845" s="1463">
        <f>+ROUND(E843/B844,2)</f>
        <v>183.32</v>
      </c>
      <c r="F845" s="1025"/>
    </row>
    <row r="846" spans="1:6" s="1447" customFormat="1" x14ac:dyDescent="0.2">
      <c r="A846" s="1464"/>
      <c r="B846" s="1464"/>
      <c r="C846" s="1464"/>
      <c r="D846" s="1464"/>
      <c r="E846" s="1464"/>
      <c r="F846" s="1025"/>
    </row>
    <row r="847" spans="1:6" s="1447" customFormat="1" ht="25.5" customHeight="1" x14ac:dyDescent="0.2">
      <c r="A847" s="1576" t="s">
        <v>841</v>
      </c>
      <c r="B847" s="1577"/>
      <c r="C847" s="1577"/>
      <c r="D847" s="1577"/>
      <c r="E847" s="1578"/>
      <c r="F847" s="1025"/>
    </row>
    <row r="848" spans="1:6" s="1447" customFormat="1" x14ac:dyDescent="0.2">
      <c r="A848" s="1450"/>
      <c r="B848" s="1451" t="s">
        <v>111</v>
      </c>
      <c r="C848" s="1451" t="s">
        <v>538</v>
      </c>
      <c r="D848" s="1451" t="s">
        <v>539</v>
      </c>
      <c r="E848" s="1451" t="s">
        <v>540</v>
      </c>
      <c r="F848" s="1025"/>
    </row>
    <row r="849" spans="1:6" s="1447" customFormat="1" x14ac:dyDescent="0.2">
      <c r="A849" s="1452" t="s">
        <v>763</v>
      </c>
      <c r="B849" s="1453">
        <v>1</v>
      </c>
      <c r="C849" s="1454" t="s">
        <v>764</v>
      </c>
      <c r="D849" s="1455">
        <v>2200</v>
      </c>
      <c r="E849" s="1455">
        <f t="shared" ref="E849:E854" si="19">+D849*B849</f>
        <v>2200</v>
      </c>
      <c r="F849" s="1025"/>
    </row>
    <row r="850" spans="1:6" s="1447" customFormat="1" x14ac:dyDescent="0.2">
      <c r="A850" s="1456" t="s">
        <v>839</v>
      </c>
      <c r="B850" s="1457">
        <v>1</v>
      </c>
      <c r="C850" s="1454" t="s">
        <v>764</v>
      </c>
      <c r="D850" s="1455">
        <v>750</v>
      </c>
      <c r="E850" s="1455">
        <f t="shared" si="19"/>
        <v>750</v>
      </c>
      <c r="F850" s="1025"/>
    </row>
    <row r="851" spans="1:6" s="1447" customFormat="1" x14ac:dyDescent="0.2">
      <c r="A851" s="1456" t="s">
        <v>840</v>
      </c>
      <c r="B851" s="1457">
        <v>1</v>
      </c>
      <c r="C851" s="1454" t="s">
        <v>764</v>
      </c>
      <c r="D851" s="1455">
        <v>659</v>
      </c>
      <c r="E851" s="1455">
        <f t="shared" si="19"/>
        <v>659</v>
      </c>
      <c r="F851" s="1025"/>
    </row>
    <row r="852" spans="1:6" s="1447" customFormat="1" x14ac:dyDescent="0.2">
      <c r="A852" s="1456" t="s">
        <v>766</v>
      </c>
      <c r="B852" s="1457">
        <v>1</v>
      </c>
      <c r="C852" s="1454" t="s">
        <v>764</v>
      </c>
      <c r="D852" s="1455">
        <v>659</v>
      </c>
      <c r="E852" s="1455">
        <f t="shared" si="19"/>
        <v>659</v>
      </c>
      <c r="F852" s="1025"/>
    </row>
    <row r="853" spans="1:6" s="1447" customFormat="1" x14ac:dyDescent="0.2">
      <c r="A853" s="1456" t="s">
        <v>767</v>
      </c>
      <c r="B853" s="1457">
        <v>1</v>
      </c>
      <c r="C853" s="1454" t="s">
        <v>764</v>
      </c>
      <c r="D853" s="1455">
        <v>659</v>
      </c>
      <c r="E853" s="1455">
        <f t="shared" si="19"/>
        <v>659</v>
      </c>
      <c r="F853" s="1025"/>
    </row>
    <row r="854" spans="1:6" s="1447" customFormat="1" x14ac:dyDescent="0.2">
      <c r="A854" s="1456" t="s">
        <v>768</v>
      </c>
      <c r="B854" s="1457">
        <v>0.03</v>
      </c>
      <c r="C854" s="1454" t="s">
        <v>764</v>
      </c>
      <c r="D854" s="1455">
        <f>+E851+E852+E853</f>
        <v>1977</v>
      </c>
      <c r="E854" s="1455">
        <f t="shared" si="19"/>
        <v>59.309999999999995</v>
      </c>
      <c r="F854" s="1025"/>
    </row>
    <row r="855" spans="1:6" s="1447" customFormat="1" x14ac:dyDescent="0.2">
      <c r="A855" s="1450"/>
      <c r="B855" s="1450"/>
      <c r="C855" s="1454"/>
      <c r="D855" s="1458" t="s">
        <v>735</v>
      </c>
      <c r="E855" s="1459">
        <f>SUM(E849:E854)</f>
        <v>4986.3100000000004</v>
      </c>
      <c r="F855" s="1025"/>
    </row>
    <row r="856" spans="1:6" s="1447" customFormat="1" x14ac:dyDescent="0.2">
      <c r="A856" s="1460" t="s">
        <v>350</v>
      </c>
      <c r="B856" s="1459">
        <v>40.799999999999997</v>
      </c>
      <c r="C856" s="1459" t="s">
        <v>650</v>
      </c>
      <c r="D856" s="1461"/>
      <c r="E856" s="1461"/>
      <c r="F856" s="1025"/>
    </row>
    <row r="857" spans="1:6" s="1447" customFormat="1" x14ac:dyDescent="0.2">
      <c r="A857" s="1462"/>
      <c r="B857" s="1461"/>
      <c r="C857" s="1461"/>
      <c r="D857" s="1458" t="s">
        <v>769</v>
      </c>
      <c r="E857" s="1463">
        <f>+ROUND(E855/B856,2)</f>
        <v>122.21</v>
      </c>
      <c r="F857" s="1025"/>
    </row>
    <row r="858" spans="1:6" s="1447" customFormat="1" x14ac:dyDescent="0.2">
      <c r="A858" s="119"/>
      <c r="B858" s="122"/>
      <c r="C858" s="119"/>
      <c r="D858" s="355"/>
      <c r="E858" s="123"/>
      <c r="F858" s="1025"/>
    </row>
    <row r="859" spans="1:6" ht="15" x14ac:dyDescent="0.25">
      <c r="A859" s="1572" t="s">
        <v>373</v>
      </c>
      <c r="B859" s="1572"/>
      <c r="C859" s="1572"/>
      <c r="D859" s="1572"/>
      <c r="E859" s="1572"/>
    </row>
    <row r="860" spans="1:6" x14ac:dyDescent="0.2">
      <c r="A860" s="322"/>
      <c r="B860" s="323"/>
      <c r="C860" s="322"/>
      <c r="D860" s="323"/>
      <c r="E860" s="323"/>
    </row>
    <row r="861" spans="1:6" ht="13.5" thickBot="1" x14ac:dyDescent="0.25">
      <c r="A861" s="1573" t="s">
        <v>646</v>
      </c>
      <c r="B861" s="1573"/>
      <c r="C861" s="1573"/>
      <c r="D861" s="1573"/>
      <c r="E861" s="1573"/>
    </row>
    <row r="862" spans="1:6" ht="13.5" thickTop="1" x14ac:dyDescent="0.2">
      <c r="A862" s="415" t="s">
        <v>18</v>
      </c>
      <c r="B862" s="416"/>
      <c r="C862" s="417"/>
      <c r="D862" s="418"/>
      <c r="E862" s="419"/>
    </row>
    <row r="863" spans="1:6" x14ac:dyDescent="0.2">
      <c r="A863" s="420" t="s">
        <v>19</v>
      </c>
      <c r="B863" s="421">
        <v>1</v>
      </c>
      <c r="C863" s="422" t="s">
        <v>25</v>
      </c>
      <c r="D863" s="423">
        <v>200</v>
      </c>
      <c r="E863" s="106">
        <f>ROUND(B863*D863,2)</f>
        <v>200</v>
      </c>
    </row>
    <row r="864" spans="1:6" x14ac:dyDescent="0.2">
      <c r="A864" s="420"/>
      <c r="B864" s="421"/>
      <c r="C864" s="422"/>
      <c r="D864" s="423"/>
      <c r="E864" s="424"/>
    </row>
    <row r="865" spans="1:6" x14ac:dyDescent="0.2">
      <c r="A865" s="425" t="s">
        <v>9</v>
      </c>
      <c r="B865" s="421"/>
      <c r="C865" s="422"/>
      <c r="D865" s="423"/>
      <c r="E865" s="424"/>
    </row>
    <row r="866" spans="1:6" x14ac:dyDescent="0.2">
      <c r="A866" s="426" t="s">
        <v>374</v>
      </c>
      <c r="B866" s="421">
        <v>4.8</v>
      </c>
      <c r="C866" s="422" t="s">
        <v>10</v>
      </c>
      <c r="D866" s="423">
        <v>240.23</v>
      </c>
      <c r="E866" s="106">
        <f>ROUND(B866*D866,2)</f>
        <v>1153.0999999999999</v>
      </c>
    </row>
    <row r="867" spans="1:6" x14ac:dyDescent="0.2">
      <c r="A867" s="427" t="s">
        <v>105</v>
      </c>
      <c r="B867" s="428">
        <v>1.4</v>
      </c>
      <c r="C867" s="422" t="s">
        <v>10</v>
      </c>
      <c r="D867" s="423">
        <v>90</v>
      </c>
      <c r="E867" s="106">
        <f>ROUND(B867*D867,2)</f>
        <v>126</v>
      </c>
    </row>
    <row r="868" spans="1:6" x14ac:dyDescent="0.2">
      <c r="A868" s="427" t="s">
        <v>375</v>
      </c>
      <c r="B868" s="421">
        <v>4.08</v>
      </c>
      <c r="C868" s="422" t="s">
        <v>10</v>
      </c>
      <c r="D868" s="423">
        <v>165</v>
      </c>
      <c r="E868" s="106">
        <f>ROUND(B868*D868,2)</f>
        <v>673.2</v>
      </c>
    </row>
    <row r="869" spans="1:6" x14ac:dyDescent="0.2">
      <c r="A869" s="427"/>
      <c r="B869" s="421"/>
      <c r="C869" s="422"/>
      <c r="D869" s="423"/>
      <c r="E869" s="424"/>
    </row>
    <row r="870" spans="1:6" x14ac:dyDescent="0.2">
      <c r="A870" s="425" t="s">
        <v>28</v>
      </c>
      <c r="B870" s="421"/>
      <c r="C870" s="422"/>
      <c r="D870" s="423"/>
      <c r="E870" s="424"/>
    </row>
    <row r="871" spans="1:6" x14ac:dyDescent="0.2">
      <c r="A871" s="427" t="s">
        <v>382</v>
      </c>
      <c r="B871" s="428">
        <v>0.34</v>
      </c>
      <c r="C871" s="422" t="s">
        <v>10</v>
      </c>
      <c r="D871" s="429">
        <f>E891</f>
        <v>10547.220000000001</v>
      </c>
      <c r="E871" s="106">
        <f>ROUND(B871*D871,2)</f>
        <v>3586.05</v>
      </c>
    </row>
    <row r="872" spans="1:6" x14ac:dyDescent="0.2">
      <c r="A872" s="427" t="s">
        <v>383</v>
      </c>
      <c r="B872" s="430">
        <v>0.27</v>
      </c>
      <c r="C872" s="422" t="s">
        <v>10</v>
      </c>
      <c r="D872" s="429">
        <f>E897</f>
        <v>11203.34</v>
      </c>
      <c r="E872" s="106">
        <f>ROUND(B872*D872,2)</f>
        <v>3024.9</v>
      </c>
    </row>
    <row r="873" spans="1:6" x14ac:dyDescent="0.2">
      <c r="A873" s="427"/>
      <c r="B873" s="428"/>
      <c r="C873" s="422"/>
      <c r="D873" s="431"/>
      <c r="E873" s="424"/>
    </row>
    <row r="874" spans="1:6" x14ac:dyDescent="0.2">
      <c r="A874" s="425" t="s">
        <v>102</v>
      </c>
      <c r="B874" s="428"/>
      <c r="C874" s="422"/>
      <c r="D874" s="431"/>
      <c r="E874" s="424"/>
    </row>
    <row r="875" spans="1:6" x14ac:dyDescent="0.2">
      <c r="A875" s="427" t="s">
        <v>376</v>
      </c>
      <c r="B875" s="421">
        <v>6.29</v>
      </c>
      <c r="C875" s="422" t="s">
        <v>16</v>
      </c>
      <c r="D875" s="423">
        <f>E215</f>
        <v>880.51</v>
      </c>
      <c r="E875" s="106">
        <f>ROUND(B875*D875,2)</f>
        <v>5538.41</v>
      </c>
    </row>
    <row r="876" spans="1:6" x14ac:dyDescent="0.2">
      <c r="A876" s="427"/>
      <c r="B876" s="421"/>
      <c r="C876" s="422"/>
      <c r="D876" s="423"/>
      <c r="E876" s="424"/>
    </row>
    <row r="877" spans="1:6" x14ac:dyDescent="0.2">
      <c r="A877" s="425" t="s">
        <v>377</v>
      </c>
      <c r="B877" s="421"/>
      <c r="C877" s="422"/>
      <c r="D877" s="423"/>
      <c r="E877" s="424"/>
    </row>
    <row r="878" spans="1:6" x14ac:dyDescent="0.2">
      <c r="A878" s="427" t="s">
        <v>21</v>
      </c>
      <c r="B878" s="421">
        <v>1.2</v>
      </c>
      <c r="C878" s="422" t="s">
        <v>16</v>
      </c>
      <c r="D878" s="432">
        <f>E107</f>
        <v>310.67</v>
      </c>
      <c r="E878" s="106">
        <f>ROUND(B878*D878,2)</f>
        <v>372.8</v>
      </c>
    </row>
    <row r="879" spans="1:6" s="957" customFormat="1" x14ac:dyDescent="0.2">
      <c r="A879" s="427" t="s">
        <v>644</v>
      </c>
      <c r="B879" s="421">
        <v>5.32</v>
      </c>
      <c r="C879" s="422" t="s">
        <v>16</v>
      </c>
      <c r="D879" s="432"/>
      <c r="E879" s="106"/>
      <c r="F879" s="1025"/>
    </row>
    <row r="880" spans="1:6" x14ac:dyDescent="0.2">
      <c r="A880" s="427" t="s">
        <v>378</v>
      </c>
      <c r="B880" s="421">
        <v>30.4</v>
      </c>
      <c r="C880" s="422" t="s">
        <v>15</v>
      </c>
      <c r="D880" s="432">
        <f>E145</f>
        <v>86.54</v>
      </c>
      <c r="E880" s="106">
        <f>ROUND(B880*D880,2)</f>
        <v>2630.82</v>
      </c>
    </row>
    <row r="881" spans="1:5" x14ac:dyDescent="0.2">
      <c r="A881" s="427" t="s">
        <v>29</v>
      </c>
      <c r="B881" s="421">
        <v>1.21</v>
      </c>
      <c r="C881" s="422" t="s">
        <v>16</v>
      </c>
      <c r="D881" s="432">
        <f>E130</f>
        <v>472.01</v>
      </c>
      <c r="E881" s="106">
        <f>ROUND(B881*D881,2)</f>
        <v>571.13</v>
      </c>
    </row>
    <row r="882" spans="1:5" x14ac:dyDescent="0.2">
      <c r="A882" s="427" t="s">
        <v>30</v>
      </c>
      <c r="B882" s="421">
        <v>6.52</v>
      </c>
      <c r="C882" s="422" t="s">
        <v>16</v>
      </c>
      <c r="D882" s="423">
        <v>107.16</v>
      </c>
      <c r="E882" s="106">
        <f>ROUND(B882*D882,2)</f>
        <v>698.68</v>
      </c>
    </row>
    <row r="883" spans="1:5" x14ac:dyDescent="0.2">
      <c r="A883" s="427"/>
      <c r="B883" s="421"/>
      <c r="C883" s="422"/>
      <c r="D883" s="423"/>
      <c r="E883" s="424"/>
    </row>
    <row r="884" spans="1:5" x14ac:dyDescent="0.2">
      <c r="A884" s="427" t="s">
        <v>645</v>
      </c>
      <c r="B884" s="421">
        <v>1</v>
      </c>
      <c r="C884" s="422" t="s">
        <v>24</v>
      </c>
      <c r="D884" s="432">
        <v>7670</v>
      </c>
      <c r="E884" s="106">
        <f>ROUND(B884*D884,2)</f>
        <v>7670</v>
      </c>
    </row>
    <row r="885" spans="1:5" x14ac:dyDescent="0.2">
      <c r="A885" s="425"/>
      <c r="B885" s="433"/>
      <c r="C885" s="422"/>
      <c r="D885" s="434"/>
      <c r="E885" s="435"/>
    </row>
    <row r="886" spans="1:5" ht="13.5" thickBot="1" x14ac:dyDescent="0.25">
      <c r="A886" s="436"/>
      <c r="B886" s="437"/>
      <c r="C886" s="437"/>
      <c r="D886" s="438" t="s">
        <v>379</v>
      </c>
      <c r="E886" s="439">
        <f>SUM(E863:E885)</f>
        <v>26245.09</v>
      </c>
    </row>
    <row r="887" spans="1:5" ht="13.5" thickTop="1" x14ac:dyDescent="0.2">
      <c r="A887" s="440"/>
      <c r="B887" s="441"/>
      <c r="C887" s="440"/>
      <c r="D887" s="441"/>
      <c r="E887" s="441"/>
    </row>
    <row r="888" spans="1:5" ht="13.5" thickBot="1" x14ac:dyDescent="0.25">
      <c r="A888" s="442" t="s">
        <v>385</v>
      </c>
      <c r="B888" s="443"/>
      <c r="C888" s="444"/>
      <c r="D888" s="444"/>
      <c r="E888" s="445"/>
    </row>
    <row r="889" spans="1:5" ht="13.5" thickTop="1" x14ac:dyDescent="0.2">
      <c r="A889" s="446" t="s">
        <v>306</v>
      </c>
      <c r="B889" s="447">
        <v>1.05</v>
      </c>
      <c r="C889" s="448" t="s">
        <v>10</v>
      </c>
      <c r="D889" s="449">
        <f>E68</f>
        <v>4783.0078000000003</v>
      </c>
      <c r="E889" s="116">
        <f>ROUND(B889*D889,2)</f>
        <v>5022.16</v>
      </c>
    </row>
    <row r="890" spans="1:5" x14ac:dyDescent="0.2">
      <c r="A890" s="450" t="s">
        <v>249</v>
      </c>
      <c r="B890" s="451">
        <v>2.19</v>
      </c>
      <c r="C890" s="452" t="s">
        <v>122</v>
      </c>
      <c r="D890" s="453">
        <f>E181</f>
        <v>2522.86</v>
      </c>
      <c r="E890" s="106">
        <f>ROUND(B890*D890,2)</f>
        <v>5525.06</v>
      </c>
    </row>
    <row r="891" spans="1:5" ht="13.5" thickBot="1" x14ac:dyDescent="0.25">
      <c r="A891" s="454"/>
      <c r="B891" s="455"/>
      <c r="C891" s="455"/>
      <c r="D891" s="309" t="s">
        <v>273</v>
      </c>
      <c r="E891" s="456">
        <f>SUM(E889:E890)</f>
        <v>10547.220000000001</v>
      </c>
    </row>
    <row r="892" spans="1:5" ht="13.5" thickTop="1" x14ac:dyDescent="0.2">
      <c r="A892" s="457"/>
      <c r="B892" s="457"/>
      <c r="C892" s="457"/>
      <c r="D892" s="355"/>
      <c r="E892" s="458"/>
    </row>
    <row r="893" spans="1:5" ht="13.5" thickBot="1" x14ac:dyDescent="0.25">
      <c r="A893" s="442" t="s">
        <v>380</v>
      </c>
      <c r="B893" s="459">
        <v>0.12</v>
      </c>
      <c r="C893" s="444"/>
      <c r="D893" s="444"/>
      <c r="E893" s="445"/>
    </row>
    <row r="894" spans="1:5" ht="13.5" thickTop="1" x14ac:dyDescent="0.2">
      <c r="A894" s="446" t="s">
        <v>306</v>
      </c>
      <c r="B894" s="447">
        <v>1.05</v>
      </c>
      <c r="C894" s="448" t="s">
        <v>10</v>
      </c>
      <c r="D894" s="449">
        <f>E68</f>
        <v>4783.0078000000003</v>
      </c>
      <c r="E894" s="116">
        <f>ROUND(B894*D894,2)</f>
        <v>5022.16</v>
      </c>
    </row>
    <row r="895" spans="1:5" x14ac:dyDescent="0.2">
      <c r="A895" s="450" t="s">
        <v>249</v>
      </c>
      <c r="B895" s="451">
        <v>1.41</v>
      </c>
      <c r="C895" s="452" t="s">
        <v>122</v>
      </c>
      <c r="D895" s="453">
        <f>E181</f>
        <v>2522.86</v>
      </c>
      <c r="E895" s="106">
        <f>ROUND(B895*D895,2)</f>
        <v>3557.23</v>
      </c>
    </row>
    <row r="896" spans="1:5" x14ac:dyDescent="0.2">
      <c r="A896" s="460" t="s">
        <v>276</v>
      </c>
      <c r="B896" s="461">
        <f>ROUND(1/B893,2)</f>
        <v>8.33</v>
      </c>
      <c r="C896" s="462" t="s">
        <v>8</v>
      </c>
      <c r="D896" s="463">
        <v>315</v>
      </c>
      <c r="E896" s="106">
        <f>ROUND(B896*D896,2)</f>
        <v>2623.95</v>
      </c>
    </row>
    <row r="897" spans="1:5" ht="13.5" thickBot="1" x14ac:dyDescent="0.25">
      <c r="A897" s="454"/>
      <c r="B897" s="455"/>
      <c r="C897" s="455"/>
      <c r="D897" s="309" t="s">
        <v>273</v>
      </c>
      <c r="E897" s="456">
        <f>SUM(E894:E896)</f>
        <v>11203.34</v>
      </c>
    </row>
    <row r="898" spans="1:5" ht="13.5" thickTop="1" x14ac:dyDescent="0.2">
      <c r="A898" s="440"/>
      <c r="B898" s="441"/>
      <c r="C898" s="440"/>
      <c r="D898" s="441"/>
      <c r="E898" s="441"/>
    </row>
    <row r="899" spans="1:5" ht="13.5" thickBot="1" x14ac:dyDescent="0.25">
      <c r="A899" s="1573" t="s">
        <v>381</v>
      </c>
      <c r="B899" s="1573"/>
      <c r="C899" s="1573"/>
      <c r="D899" s="1573"/>
      <c r="E899" s="1573"/>
    </row>
    <row r="900" spans="1:5" ht="13.5" thickTop="1" x14ac:dyDescent="0.2">
      <c r="A900" s="415" t="s">
        <v>18</v>
      </c>
      <c r="B900" s="416"/>
      <c r="C900" s="417"/>
      <c r="D900" s="418"/>
      <c r="E900" s="419"/>
    </row>
    <row r="901" spans="1:5" x14ac:dyDescent="0.2">
      <c r="A901" s="420" t="s">
        <v>19</v>
      </c>
      <c r="B901" s="421">
        <v>1</v>
      </c>
      <c r="C901" s="422" t="s">
        <v>25</v>
      </c>
      <c r="D901" s="423">
        <v>360</v>
      </c>
      <c r="E901" s="106">
        <f>ROUND(B901*D901,2)</f>
        <v>360</v>
      </c>
    </row>
    <row r="902" spans="1:5" x14ac:dyDescent="0.2">
      <c r="A902" s="420"/>
      <c r="B902" s="421"/>
      <c r="C902" s="422"/>
      <c r="D902" s="423"/>
      <c r="E902" s="424"/>
    </row>
    <row r="903" spans="1:5" x14ac:dyDescent="0.2">
      <c r="A903" s="425" t="s">
        <v>9</v>
      </c>
      <c r="B903" s="421"/>
      <c r="C903" s="422"/>
      <c r="D903" s="423"/>
      <c r="E903" s="424"/>
    </row>
    <row r="904" spans="1:5" x14ac:dyDescent="0.2">
      <c r="A904" s="426" t="s">
        <v>374</v>
      </c>
      <c r="B904" s="421">
        <v>9.26</v>
      </c>
      <c r="C904" s="422" t="s">
        <v>10</v>
      </c>
      <c r="D904" s="423">
        <v>240.23</v>
      </c>
      <c r="E904" s="106">
        <f>ROUND(B904*D904,2)</f>
        <v>2224.5300000000002</v>
      </c>
    </row>
    <row r="905" spans="1:5" x14ac:dyDescent="0.2">
      <c r="A905" s="427" t="s">
        <v>105</v>
      </c>
      <c r="B905" s="428">
        <v>5.01</v>
      </c>
      <c r="C905" s="422" t="s">
        <v>10</v>
      </c>
      <c r="D905" s="423">
        <v>126.55</v>
      </c>
      <c r="E905" s="106">
        <f>ROUND(B905*D905,2)</f>
        <v>634.02</v>
      </c>
    </row>
    <row r="906" spans="1:5" x14ac:dyDescent="0.2">
      <c r="A906" s="427" t="s">
        <v>375</v>
      </c>
      <c r="B906" s="421">
        <v>5.0999999999999996</v>
      </c>
      <c r="C906" s="422" t="s">
        <v>10</v>
      </c>
      <c r="D906" s="423">
        <v>150</v>
      </c>
      <c r="E906" s="106">
        <f>ROUND(B906*D906,2)</f>
        <v>765</v>
      </c>
    </row>
    <row r="907" spans="1:5" x14ac:dyDescent="0.2">
      <c r="A907" s="427"/>
      <c r="B907" s="421"/>
      <c r="C907" s="422"/>
      <c r="D907" s="423"/>
      <c r="E907" s="424"/>
    </row>
    <row r="908" spans="1:5" x14ac:dyDescent="0.2">
      <c r="A908" s="425" t="s">
        <v>28</v>
      </c>
      <c r="B908" s="421"/>
      <c r="C908" s="422"/>
      <c r="D908" s="423"/>
      <c r="E908" s="424"/>
    </row>
    <row r="909" spans="1:5" x14ac:dyDescent="0.2">
      <c r="A909" s="427" t="s">
        <v>382</v>
      </c>
      <c r="B909" s="428">
        <v>0.34</v>
      </c>
      <c r="C909" s="422" t="s">
        <v>10</v>
      </c>
      <c r="D909" s="429">
        <f>E925</f>
        <v>10547.220000000001</v>
      </c>
      <c r="E909" s="106">
        <f>ROUND(B909*D909,2)</f>
        <v>3586.05</v>
      </c>
    </row>
    <row r="910" spans="1:5" x14ac:dyDescent="0.2">
      <c r="A910" s="427" t="s">
        <v>383</v>
      </c>
      <c r="B910" s="430">
        <v>0.27</v>
      </c>
      <c r="C910" s="422" t="s">
        <v>10</v>
      </c>
      <c r="D910" s="429">
        <f>E931</f>
        <v>11102.43</v>
      </c>
      <c r="E910" s="106">
        <f>ROUND(B910*D910,2)</f>
        <v>2997.66</v>
      </c>
    </row>
    <row r="911" spans="1:5" x14ac:dyDescent="0.2">
      <c r="A911" s="427"/>
      <c r="B911" s="428"/>
      <c r="C911" s="422"/>
      <c r="D911" s="431"/>
      <c r="E911" s="424"/>
    </row>
    <row r="912" spans="1:5" x14ac:dyDescent="0.2">
      <c r="A912" s="425" t="s">
        <v>102</v>
      </c>
      <c r="B912" s="428"/>
      <c r="C912" s="422"/>
      <c r="D912" s="431"/>
      <c r="E912" s="424"/>
    </row>
    <row r="913" spans="1:5" x14ac:dyDescent="0.2">
      <c r="A913" s="427" t="s">
        <v>376</v>
      </c>
      <c r="B913" s="421">
        <v>6.21</v>
      </c>
      <c r="C913" s="422" t="s">
        <v>16</v>
      </c>
      <c r="D913" s="423">
        <f>E215</f>
        <v>880.51</v>
      </c>
      <c r="E913" s="106">
        <f>ROUND(B913*D913,2)</f>
        <v>5467.97</v>
      </c>
    </row>
    <row r="914" spans="1:5" x14ac:dyDescent="0.2">
      <c r="A914" s="427"/>
      <c r="B914" s="421"/>
      <c r="C914" s="422"/>
      <c r="D914" s="423"/>
      <c r="E914" s="424"/>
    </row>
    <row r="915" spans="1:5" x14ac:dyDescent="0.2">
      <c r="A915" s="425" t="s">
        <v>377</v>
      </c>
      <c r="B915" s="421"/>
      <c r="C915" s="422"/>
      <c r="D915" s="423"/>
      <c r="E915" s="424"/>
    </row>
    <row r="916" spans="1:5" x14ac:dyDescent="0.2">
      <c r="A916" s="427" t="s">
        <v>29</v>
      </c>
      <c r="B916" s="421">
        <v>1.04</v>
      </c>
      <c r="C916" s="422" t="s">
        <v>16</v>
      </c>
      <c r="D916" s="432">
        <f>E130</f>
        <v>472.01</v>
      </c>
      <c r="E916" s="106">
        <f>ROUND(B916*D916,2)</f>
        <v>490.89</v>
      </c>
    </row>
    <row r="917" spans="1:5" x14ac:dyDescent="0.2">
      <c r="A917" s="427"/>
      <c r="B917" s="421"/>
      <c r="C917" s="422"/>
      <c r="D917" s="423"/>
      <c r="E917" s="424"/>
    </row>
    <row r="918" spans="1:5" x14ac:dyDescent="0.2">
      <c r="A918" s="427" t="s">
        <v>384</v>
      </c>
      <c r="B918" s="421">
        <v>1</v>
      </c>
      <c r="C918" s="422" t="s">
        <v>24</v>
      </c>
      <c r="D918" s="432">
        <v>7493</v>
      </c>
      <c r="E918" s="106">
        <f>ROUND(B918*D918,2)</f>
        <v>7493</v>
      </c>
    </row>
    <row r="919" spans="1:5" x14ac:dyDescent="0.2">
      <c r="A919" s="425"/>
      <c r="B919" s="433"/>
      <c r="C919" s="422"/>
      <c r="D919" s="434"/>
      <c r="E919" s="435"/>
    </row>
    <row r="920" spans="1:5" ht="13.5" thickBot="1" x14ac:dyDescent="0.25">
      <c r="A920" s="436"/>
      <c r="B920" s="437"/>
      <c r="C920" s="437"/>
      <c r="D920" s="438" t="s">
        <v>379</v>
      </c>
      <c r="E920" s="439">
        <f>SUM(E901:E919)</f>
        <v>24019.119999999999</v>
      </c>
    </row>
    <row r="921" spans="1:5" ht="13.5" thickTop="1" x14ac:dyDescent="0.2">
      <c r="A921" s="440"/>
      <c r="B921" s="441"/>
      <c r="C921" s="440"/>
      <c r="D921" s="441"/>
      <c r="E921" s="441"/>
    </row>
    <row r="922" spans="1:5" ht="13.5" thickBot="1" x14ac:dyDescent="0.25">
      <c r="A922" s="442" t="s">
        <v>385</v>
      </c>
      <c r="B922" s="443"/>
      <c r="C922" s="444"/>
      <c r="D922" s="444"/>
      <c r="E922" s="445"/>
    </row>
    <row r="923" spans="1:5" ht="13.5" thickTop="1" x14ac:dyDescent="0.2">
      <c r="A923" s="446" t="s">
        <v>306</v>
      </c>
      <c r="B923" s="447">
        <v>1.05</v>
      </c>
      <c r="C923" s="448" t="s">
        <v>10</v>
      </c>
      <c r="D923" s="449">
        <f>E68</f>
        <v>4783.0078000000003</v>
      </c>
      <c r="E923" s="116">
        <f>ROUND(B923*D923,2)</f>
        <v>5022.16</v>
      </c>
    </row>
    <row r="924" spans="1:5" x14ac:dyDescent="0.2">
      <c r="A924" s="450" t="s">
        <v>249</v>
      </c>
      <c r="B924" s="451">
        <v>2.19</v>
      </c>
      <c r="C924" s="452" t="s">
        <v>122</v>
      </c>
      <c r="D924" s="453">
        <f>E181</f>
        <v>2522.86</v>
      </c>
      <c r="E924" s="106">
        <f>ROUND(B924*D924,2)</f>
        <v>5525.06</v>
      </c>
    </row>
    <row r="925" spans="1:5" ht="13.5" thickBot="1" x14ac:dyDescent="0.25">
      <c r="A925" s="454"/>
      <c r="B925" s="455"/>
      <c r="C925" s="455"/>
      <c r="D925" s="309" t="s">
        <v>273</v>
      </c>
      <c r="E925" s="456">
        <f>SUM(E923:E924)</f>
        <v>10547.220000000001</v>
      </c>
    </row>
    <row r="926" spans="1:5" ht="13.5" thickTop="1" x14ac:dyDescent="0.2">
      <c r="A926" s="457"/>
      <c r="B926" s="457"/>
      <c r="C926" s="457"/>
      <c r="D926" s="355"/>
      <c r="E926" s="458"/>
    </row>
    <row r="927" spans="1:5" ht="13.5" thickBot="1" x14ac:dyDescent="0.25">
      <c r="A927" s="442" t="s">
        <v>386</v>
      </c>
      <c r="B927" s="459">
        <v>0.12</v>
      </c>
      <c r="C927" s="444"/>
      <c r="D927" s="444"/>
      <c r="E927" s="445"/>
    </row>
    <row r="928" spans="1:5" ht="13.5" thickTop="1" x14ac:dyDescent="0.2">
      <c r="A928" s="446" t="s">
        <v>306</v>
      </c>
      <c r="B928" s="447">
        <v>1.05</v>
      </c>
      <c r="C928" s="448" t="s">
        <v>10</v>
      </c>
      <c r="D928" s="449">
        <f>E68</f>
        <v>4783.0078000000003</v>
      </c>
      <c r="E928" s="116">
        <f>ROUND(B928*D928,2)</f>
        <v>5022.16</v>
      </c>
    </row>
    <row r="929" spans="1:5" x14ac:dyDescent="0.2">
      <c r="A929" s="450" t="s">
        <v>249</v>
      </c>
      <c r="B929" s="451">
        <v>1.37</v>
      </c>
      <c r="C929" s="452" t="s">
        <v>122</v>
      </c>
      <c r="D929" s="453">
        <f>E181</f>
        <v>2522.86</v>
      </c>
      <c r="E929" s="106">
        <f>ROUND(B929*D929,2)</f>
        <v>3456.32</v>
      </c>
    </row>
    <row r="930" spans="1:5" x14ac:dyDescent="0.2">
      <c r="A930" s="460" t="s">
        <v>276</v>
      </c>
      <c r="B930" s="461">
        <f>ROUND(1/B927,2)</f>
        <v>8.33</v>
      </c>
      <c r="C930" s="462" t="s">
        <v>8</v>
      </c>
      <c r="D930" s="463">
        <v>315</v>
      </c>
      <c r="E930" s="106">
        <f>ROUND(B930*D930,2)</f>
        <v>2623.95</v>
      </c>
    </row>
    <row r="931" spans="1:5" ht="13.5" thickBot="1" x14ac:dyDescent="0.25">
      <c r="A931" s="454"/>
      <c r="B931" s="455"/>
      <c r="C931" s="455"/>
      <c r="D931" s="309" t="s">
        <v>273</v>
      </c>
      <c r="E931" s="456">
        <f>SUM(E928:E930)</f>
        <v>11102.43</v>
      </c>
    </row>
    <row r="932" spans="1:5" ht="13.5" thickTop="1" x14ac:dyDescent="0.2">
      <c r="A932" s="322"/>
      <c r="B932" s="323"/>
      <c r="C932" s="322"/>
      <c r="D932" s="323"/>
      <c r="E932" s="323"/>
    </row>
    <row r="933" spans="1:5" x14ac:dyDescent="0.2">
      <c r="A933" s="322"/>
      <c r="B933" s="323"/>
      <c r="C933" s="322"/>
      <c r="D933" s="323"/>
      <c r="E933" s="323"/>
    </row>
    <row r="934" spans="1:5" x14ac:dyDescent="0.2">
      <c r="A934" s="322"/>
      <c r="B934" s="323"/>
      <c r="C934" s="322"/>
      <c r="D934" s="323"/>
      <c r="E934" s="323"/>
    </row>
    <row r="935" spans="1:5" ht="13.5" thickBot="1" x14ac:dyDescent="0.25">
      <c r="A935" s="464" t="s">
        <v>387</v>
      </c>
      <c r="B935" s="334">
        <v>7.2</v>
      </c>
      <c r="C935" s="335" t="s">
        <v>8</v>
      </c>
      <c r="D935" s="329"/>
      <c r="E935" s="329"/>
    </row>
    <row r="936" spans="1:5" ht="13.5" thickTop="1" x14ac:dyDescent="0.2">
      <c r="A936" s="336" t="s">
        <v>293</v>
      </c>
      <c r="B936" s="325">
        <v>14.67</v>
      </c>
      <c r="C936" s="337" t="s">
        <v>294</v>
      </c>
      <c r="D936" s="325">
        <v>45</v>
      </c>
      <c r="E936" s="116">
        <f t="shared" ref="E936:E941" si="20">ROUND(B936*D936,2)</f>
        <v>660.15</v>
      </c>
    </row>
    <row r="937" spans="1:5" x14ac:dyDescent="0.2">
      <c r="A937" s="338" t="s">
        <v>295</v>
      </c>
      <c r="B937" s="326">
        <v>3</v>
      </c>
      <c r="C937" s="327" t="s">
        <v>202</v>
      </c>
      <c r="D937" s="326">
        <v>32</v>
      </c>
      <c r="E937" s="106">
        <f t="shared" si="20"/>
        <v>96</v>
      </c>
    </row>
    <row r="938" spans="1:5" x14ac:dyDescent="0.2">
      <c r="A938" s="338" t="s">
        <v>296</v>
      </c>
      <c r="B938" s="326">
        <f>0.04*B935</f>
        <v>0.28800000000000003</v>
      </c>
      <c r="C938" s="327" t="s">
        <v>116</v>
      </c>
      <c r="D938" s="326">
        <v>90</v>
      </c>
      <c r="E938" s="106">
        <f t="shared" si="20"/>
        <v>25.92</v>
      </c>
    </row>
    <row r="939" spans="1:5" x14ac:dyDescent="0.2">
      <c r="A939" s="338" t="s">
        <v>297</v>
      </c>
      <c r="B939" s="326">
        <f>0.005*B935</f>
        <v>3.6000000000000004E-2</v>
      </c>
      <c r="C939" s="327" t="s">
        <v>298</v>
      </c>
      <c r="D939" s="326">
        <v>106.29</v>
      </c>
      <c r="E939" s="106">
        <f t="shared" si="20"/>
        <v>3.83</v>
      </c>
    </row>
    <row r="940" spans="1:5" x14ac:dyDescent="0.2">
      <c r="A940" s="338" t="s">
        <v>299</v>
      </c>
      <c r="B940" s="326">
        <f>0.015*B935</f>
        <v>0.108</v>
      </c>
      <c r="C940" s="327" t="s">
        <v>151</v>
      </c>
      <c r="D940" s="326">
        <v>900</v>
      </c>
      <c r="E940" s="106">
        <f t="shared" si="20"/>
        <v>97.2</v>
      </c>
    </row>
    <row r="941" spans="1:5" x14ac:dyDescent="0.2">
      <c r="A941" s="338" t="s">
        <v>300</v>
      </c>
      <c r="B941" s="326">
        <f>0.034*B935</f>
        <v>0.24480000000000002</v>
      </c>
      <c r="C941" s="327" t="s">
        <v>151</v>
      </c>
      <c r="D941" s="326">
        <v>780</v>
      </c>
      <c r="E941" s="106">
        <f t="shared" si="20"/>
        <v>190.94</v>
      </c>
    </row>
    <row r="942" spans="1:5" x14ac:dyDescent="0.2">
      <c r="A942" s="338" t="s">
        <v>302</v>
      </c>
      <c r="B942" s="326">
        <v>3</v>
      </c>
      <c r="C942" s="327" t="s">
        <v>13</v>
      </c>
      <c r="D942" s="326">
        <f>SUM(E940,E941)</f>
        <v>288.14</v>
      </c>
      <c r="E942" s="106">
        <f>ROUND(B942*D942,2)/100</f>
        <v>8.6441999999999997</v>
      </c>
    </row>
    <row r="943" spans="1:5" ht="13.5" thickBot="1" x14ac:dyDescent="0.25">
      <c r="A943" s="339"/>
      <c r="B943" s="340"/>
      <c r="C943" s="341"/>
      <c r="D943" s="342" t="s">
        <v>303</v>
      </c>
      <c r="E943" s="343">
        <f>SUM(E936:E942)</f>
        <v>1082.6841999999999</v>
      </c>
    </row>
    <row r="944" spans="1:5" ht="14.25" thickTop="1" thickBot="1" x14ac:dyDescent="0.25">
      <c r="A944" s="344"/>
      <c r="B944" s="345"/>
      <c r="C944" s="346"/>
      <c r="D944" s="347" t="s">
        <v>269</v>
      </c>
      <c r="E944" s="348">
        <f>E943/B935</f>
        <v>150.37280555555554</v>
      </c>
    </row>
    <row r="945" spans="1:5" ht="14.25" thickTop="1" thickBot="1" x14ac:dyDescent="0.25">
      <c r="A945" s="349"/>
      <c r="B945" s="350"/>
      <c r="C945" s="351"/>
      <c r="D945" s="352" t="s">
        <v>304</v>
      </c>
      <c r="E945" s="353">
        <f>E943/3.2</f>
        <v>338.33881249999996</v>
      </c>
    </row>
    <row r="946" spans="1:5" ht="13.5" thickTop="1" x14ac:dyDescent="0.2">
      <c r="A946" s="322"/>
      <c r="B946" s="323"/>
      <c r="C946" s="322"/>
      <c r="D946" s="323"/>
      <c r="E946" s="323"/>
    </row>
    <row r="947" spans="1:5" ht="13.5" thickBot="1" x14ac:dyDescent="0.25">
      <c r="A947" s="465" t="s">
        <v>388</v>
      </c>
      <c r="B947" s="466">
        <f>(0.8*0.8*0.1)</f>
        <v>6.4000000000000015E-2</v>
      </c>
      <c r="C947" s="467" t="s">
        <v>10</v>
      </c>
      <c r="D947" s="468"/>
      <c r="E947" s="469"/>
    </row>
    <row r="948" spans="1:5" ht="13.5" thickTop="1" x14ac:dyDescent="0.2">
      <c r="A948" s="470" t="s">
        <v>389</v>
      </c>
      <c r="B948" s="471">
        <v>1.05</v>
      </c>
      <c r="C948" s="472" t="s">
        <v>10</v>
      </c>
      <c r="D948" s="473">
        <f>E68</f>
        <v>4783.0078000000003</v>
      </c>
      <c r="E948" s="116">
        <f t="shared" ref="E948:E953" si="21">ROUND(B948*D948,2)</f>
        <v>5022.16</v>
      </c>
    </row>
    <row r="949" spans="1:5" x14ac:dyDescent="0.2">
      <c r="A949" s="474" t="s">
        <v>249</v>
      </c>
      <c r="B949" s="475">
        <v>1.68</v>
      </c>
      <c r="C949" s="476" t="s">
        <v>122</v>
      </c>
      <c r="D949" s="477">
        <f>E175</f>
        <v>2358.2800000000002</v>
      </c>
      <c r="E949" s="106">
        <f t="shared" si="21"/>
        <v>3961.91</v>
      </c>
    </row>
    <row r="950" spans="1:5" x14ac:dyDescent="0.2">
      <c r="A950" s="474" t="s">
        <v>281</v>
      </c>
      <c r="B950" s="393">
        <v>10</v>
      </c>
      <c r="C950" s="476" t="s">
        <v>16</v>
      </c>
      <c r="D950" s="477">
        <v>100</v>
      </c>
      <c r="E950" s="106">
        <f t="shared" si="21"/>
        <v>1000</v>
      </c>
    </row>
    <row r="951" spans="1:5" x14ac:dyDescent="0.2">
      <c r="A951" s="474"/>
      <c r="B951" s="475"/>
      <c r="C951" s="478"/>
      <c r="D951" s="479" t="s">
        <v>390</v>
      </c>
      <c r="E951" s="480">
        <f>SUM(E948:E950)</f>
        <v>9984.07</v>
      </c>
    </row>
    <row r="952" spans="1:5" x14ac:dyDescent="0.2">
      <c r="A952" s="474" t="s">
        <v>391</v>
      </c>
      <c r="B952" s="475">
        <v>0.06</v>
      </c>
      <c r="C952" s="476" t="s">
        <v>10</v>
      </c>
      <c r="D952" s="481">
        <f>E951</f>
        <v>9984.07</v>
      </c>
      <c r="E952" s="106">
        <f t="shared" si="21"/>
        <v>599.04</v>
      </c>
    </row>
    <row r="953" spans="1:5" x14ac:dyDescent="0.2">
      <c r="A953" s="474" t="s">
        <v>392</v>
      </c>
      <c r="B953" s="393">
        <v>1</v>
      </c>
      <c r="C953" s="476" t="s">
        <v>24</v>
      </c>
      <c r="D953" s="393">
        <v>200</v>
      </c>
      <c r="E953" s="106">
        <f t="shared" si="21"/>
        <v>200</v>
      </c>
    </row>
    <row r="954" spans="1:5" ht="13.5" thickBot="1" x14ac:dyDescent="0.25">
      <c r="A954" s="482"/>
      <c r="B954" s="483"/>
      <c r="C954" s="484"/>
      <c r="D954" s="485" t="s">
        <v>393</v>
      </c>
      <c r="E954" s="486">
        <f>SUM(E952:E953)</f>
        <v>799.04</v>
      </c>
    </row>
    <row r="955" spans="1:5" ht="13.5" thickTop="1" x14ac:dyDescent="0.2">
      <c r="A955" s="322"/>
      <c r="B955" s="323"/>
      <c r="C955" s="322"/>
      <c r="D955" s="323"/>
      <c r="E955" s="323"/>
    </row>
    <row r="956" spans="1:5" ht="13.5" thickBot="1" x14ac:dyDescent="0.25">
      <c r="A956" s="487" t="s">
        <v>394</v>
      </c>
      <c r="B956" s="488">
        <v>1.85</v>
      </c>
      <c r="C956" s="489" t="s">
        <v>8</v>
      </c>
      <c r="D956" s="14"/>
      <c r="E956" s="14"/>
    </row>
    <row r="957" spans="1:5" ht="13.5" thickTop="1" x14ac:dyDescent="0.2">
      <c r="A957" s="490" t="s">
        <v>395</v>
      </c>
      <c r="B957" s="491">
        <v>6.1</v>
      </c>
      <c r="C957" s="492" t="s">
        <v>8</v>
      </c>
      <c r="D957" s="491">
        <v>151.97</v>
      </c>
      <c r="E957" s="116">
        <f>ROUND(B957*D957,2)</f>
        <v>927.02</v>
      </c>
    </row>
    <row r="958" spans="1:5" x14ac:dyDescent="0.2">
      <c r="A958" s="493" t="s">
        <v>396</v>
      </c>
      <c r="B958" s="494">
        <v>0.3</v>
      </c>
      <c r="C958" s="495" t="s">
        <v>151</v>
      </c>
      <c r="D958" s="494">
        <f>E773</f>
        <v>3071.25</v>
      </c>
      <c r="E958" s="106">
        <f>ROUND(B958*D958,2)</f>
        <v>921.38</v>
      </c>
    </row>
    <row r="959" spans="1:5" x14ac:dyDescent="0.2">
      <c r="A959" s="493" t="s">
        <v>397</v>
      </c>
      <c r="B959" s="494">
        <v>0.3</v>
      </c>
      <c r="C959" s="495" t="s">
        <v>151</v>
      </c>
      <c r="D959" s="494">
        <f>E766</f>
        <v>8640.8639999999996</v>
      </c>
      <c r="E959" s="106">
        <f>ROUND(B959*D959,2)</f>
        <v>2592.2600000000002</v>
      </c>
    </row>
    <row r="960" spans="1:5" x14ac:dyDescent="0.2">
      <c r="A960" s="493" t="s">
        <v>398</v>
      </c>
      <c r="B960" s="494">
        <v>0.37</v>
      </c>
      <c r="C960" s="495" t="s">
        <v>16</v>
      </c>
      <c r="D960" s="494">
        <v>110.95</v>
      </c>
      <c r="E960" s="106">
        <f>ROUND(B960*D960,2)</f>
        <v>41.05</v>
      </c>
    </row>
    <row r="961" spans="1:5" x14ac:dyDescent="0.2">
      <c r="A961" s="493" t="s">
        <v>399</v>
      </c>
      <c r="B961" s="494">
        <v>0.37</v>
      </c>
      <c r="C961" s="495" t="s">
        <v>16</v>
      </c>
      <c r="D961" s="494">
        <v>130.5</v>
      </c>
      <c r="E961" s="106">
        <f>ROUND(B961*D961,2)</f>
        <v>48.29</v>
      </c>
    </row>
    <row r="962" spans="1:5" x14ac:dyDescent="0.2">
      <c r="A962" s="493"/>
      <c r="B962" s="494"/>
      <c r="C962" s="1574" t="s">
        <v>400</v>
      </c>
      <c r="D962" s="1574"/>
      <c r="E962" s="496">
        <f>SUM(E957:E961)</f>
        <v>4530</v>
      </c>
    </row>
    <row r="963" spans="1:5" ht="13.5" thickBot="1" x14ac:dyDescent="0.25">
      <c r="A963" s="497"/>
      <c r="B963" s="498"/>
      <c r="C963" s="1575" t="s">
        <v>401</v>
      </c>
      <c r="D963" s="1575"/>
      <c r="E963" s="499">
        <f>ROUND(E962/B956,2)</f>
        <v>2448.65</v>
      </c>
    </row>
    <row r="964" spans="1:5" ht="13.5" thickTop="1" x14ac:dyDescent="0.2">
      <c r="A964" s="500"/>
      <c r="B964" s="501"/>
      <c r="C964" s="502"/>
      <c r="D964" s="502"/>
      <c r="E964" s="466"/>
    </row>
    <row r="965" spans="1:5" ht="13.5" thickBot="1" x14ac:dyDescent="0.25">
      <c r="A965" s="487" t="s">
        <v>402</v>
      </c>
      <c r="B965" s="503"/>
      <c r="C965" s="504"/>
      <c r="D965" s="503"/>
      <c r="E965" s="503"/>
    </row>
    <row r="966" spans="1:5" ht="13.5" thickTop="1" x14ac:dyDescent="0.2">
      <c r="A966" s="505" t="s">
        <v>403</v>
      </c>
      <c r="B966" s="506">
        <v>13.6</v>
      </c>
      <c r="C966" s="507" t="s">
        <v>8</v>
      </c>
      <c r="D966" s="506">
        <v>96.23</v>
      </c>
      <c r="E966" s="508">
        <f>ROUND(B966*D966,2)</f>
        <v>1308.73</v>
      </c>
    </row>
    <row r="967" spans="1:5" x14ac:dyDescent="0.2">
      <c r="A967" s="509" t="s">
        <v>396</v>
      </c>
      <c r="B967" s="510">
        <f>B958</f>
        <v>0.3</v>
      </c>
      <c r="C967" s="511" t="s">
        <v>8</v>
      </c>
      <c r="D967" s="510">
        <f>D958</f>
        <v>3071.25</v>
      </c>
      <c r="E967" s="512">
        <f>ROUND(B967*D967,2)</f>
        <v>921.38</v>
      </c>
    </row>
    <row r="968" spans="1:5" x14ac:dyDescent="0.2">
      <c r="A968" s="509" t="s">
        <v>397</v>
      </c>
      <c r="B968" s="510">
        <f>B959</f>
        <v>0.3</v>
      </c>
      <c r="C968" s="511" t="s">
        <v>8</v>
      </c>
      <c r="D968" s="510">
        <f>D959</f>
        <v>8640.8639999999996</v>
      </c>
      <c r="E968" s="512">
        <f>ROUND(B968*D968,2)</f>
        <v>2592.2600000000002</v>
      </c>
    </row>
    <row r="969" spans="1:5" x14ac:dyDescent="0.2">
      <c r="A969" s="509" t="s">
        <v>398</v>
      </c>
      <c r="B969" s="510">
        <v>0.24</v>
      </c>
      <c r="C969" s="511" t="s">
        <v>8</v>
      </c>
      <c r="D969" s="513">
        <f>D960</f>
        <v>110.95</v>
      </c>
      <c r="E969" s="512">
        <f>ROUND(B969*D969,2)</f>
        <v>26.63</v>
      </c>
    </row>
    <row r="970" spans="1:5" x14ac:dyDescent="0.2">
      <c r="A970" s="509" t="s">
        <v>399</v>
      </c>
      <c r="B970" s="510">
        <v>0.24</v>
      </c>
      <c r="C970" s="511" t="s">
        <v>8</v>
      </c>
      <c r="D970" s="513">
        <f>D961</f>
        <v>130.5</v>
      </c>
      <c r="E970" s="512">
        <f>ROUND(B970*D970,2)</f>
        <v>31.32</v>
      </c>
    </row>
    <row r="971" spans="1:5" x14ac:dyDescent="0.2">
      <c r="A971" s="514"/>
      <c r="B971" s="515"/>
      <c r="C971" s="516"/>
      <c r="D971" s="517" t="s">
        <v>400</v>
      </c>
      <c r="E971" s="518">
        <f>SUM(E966:E970)</f>
        <v>4880.3200000000006</v>
      </c>
    </row>
    <row r="972" spans="1:5" ht="13.5" thickBot="1" x14ac:dyDescent="0.25">
      <c r="A972" s="519"/>
      <c r="B972" s="520"/>
      <c r="C972" s="521"/>
      <c r="D972" s="522" t="s">
        <v>401</v>
      </c>
      <c r="E972" s="523">
        <f>E971/B956</f>
        <v>2638.0108108108111</v>
      </c>
    </row>
    <row r="973" spans="1:5" ht="13.5" thickTop="1" x14ac:dyDescent="0.2">
      <c r="A973" s="322"/>
      <c r="B973" s="323"/>
      <c r="C973" s="322"/>
      <c r="D973" s="323"/>
      <c r="E973" s="323"/>
    </row>
    <row r="974" spans="1:5" ht="13.5" thickBot="1" x14ac:dyDescent="0.25">
      <c r="A974" s="524" t="s">
        <v>404</v>
      </c>
      <c r="B974" s="465"/>
      <c r="C974" s="465"/>
      <c r="D974" s="465"/>
      <c r="E974" s="465"/>
    </row>
    <row r="975" spans="1:5" ht="13.5" thickTop="1" x14ac:dyDescent="0.2">
      <c r="A975" s="525" t="s">
        <v>405</v>
      </c>
      <c r="B975" s="526">
        <v>1</v>
      </c>
      <c r="C975" s="527" t="s">
        <v>24</v>
      </c>
      <c r="D975" s="526">
        <v>1239</v>
      </c>
      <c r="E975" s="528">
        <f t="shared" ref="E975:E984" si="22">ROUND(B975*D975,2)</f>
        <v>1239</v>
      </c>
    </row>
    <row r="976" spans="1:5" x14ac:dyDescent="0.2">
      <c r="A976" s="529" t="s">
        <v>406</v>
      </c>
      <c r="B976" s="530">
        <v>7</v>
      </c>
      <c r="C976" s="531" t="s">
        <v>24</v>
      </c>
      <c r="D976" s="532">
        <v>684.4</v>
      </c>
      <c r="E976" s="533">
        <f t="shared" si="22"/>
        <v>4790.8</v>
      </c>
    </row>
    <row r="977" spans="1:5" x14ac:dyDescent="0.2">
      <c r="A977" s="529" t="s">
        <v>407</v>
      </c>
      <c r="B977" s="530">
        <v>2</v>
      </c>
      <c r="C977" s="531" t="s">
        <v>24</v>
      </c>
      <c r="D977" s="532">
        <v>45</v>
      </c>
      <c r="E977" s="533">
        <f t="shared" si="22"/>
        <v>90</v>
      </c>
    </row>
    <row r="978" spans="1:5" x14ac:dyDescent="0.2">
      <c r="A978" s="529" t="s">
        <v>408</v>
      </c>
      <c r="B978" s="530">
        <v>4</v>
      </c>
      <c r="C978" s="531" t="s">
        <v>24</v>
      </c>
      <c r="D978" s="532">
        <v>60.18</v>
      </c>
      <c r="E978" s="533">
        <f t="shared" si="22"/>
        <v>240.72</v>
      </c>
    </row>
    <row r="979" spans="1:5" x14ac:dyDescent="0.2">
      <c r="A979" s="529" t="s">
        <v>39</v>
      </c>
      <c r="B979" s="530">
        <v>7.2</v>
      </c>
      <c r="C979" s="531" t="s">
        <v>16</v>
      </c>
      <c r="D979" s="532">
        <v>348.34</v>
      </c>
      <c r="E979" s="533">
        <f t="shared" si="22"/>
        <v>2508.0500000000002</v>
      </c>
    </row>
    <row r="980" spans="1:5" x14ac:dyDescent="0.2">
      <c r="A980" s="529" t="s">
        <v>409</v>
      </c>
      <c r="B980" s="530">
        <v>3</v>
      </c>
      <c r="C980" s="531" t="s">
        <v>24</v>
      </c>
      <c r="D980" s="532">
        <v>283</v>
      </c>
      <c r="E980" s="533">
        <f t="shared" si="22"/>
        <v>849</v>
      </c>
    </row>
    <row r="981" spans="1:5" x14ac:dyDescent="0.2">
      <c r="A981" s="529" t="s">
        <v>265</v>
      </c>
      <c r="B981" s="530">
        <v>12</v>
      </c>
      <c r="C981" s="531" t="s">
        <v>24</v>
      </c>
      <c r="D981" s="532">
        <v>35.4</v>
      </c>
      <c r="E981" s="533">
        <f t="shared" si="22"/>
        <v>424.8</v>
      </c>
    </row>
    <row r="982" spans="1:5" x14ac:dyDescent="0.2">
      <c r="A982" s="529" t="s">
        <v>410</v>
      </c>
      <c r="B982" s="530">
        <v>2</v>
      </c>
      <c r="C982" s="531" t="s">
        <v>411</v>
      </c>
      <c r="D982" s="532">
        <v>36</v>
      </c>
      <c r="E982" s="533">
        <f t="shared" si="22"/>
        <v>72</v>
      </c>
    </row>
    <row r="983" spans="1:5" ht="25.5" x14ac:dyDescent="0.2">
      <c r="A983" s="534" t="s">
        <v>412</v>
      </c>
      <c r="B983" s="535">
        <v>1</v>
      </c>
      <c r="C983" s="536" t="s">
        <v>24</v>
      </c>
      <c r="D983" s="432">
        <v>115</v>
      </c>
      <c r="E983" s="537">
        <f t="shared" si="22"/>
        <v>115</v>
      </c>
    </row>
    <row r="984" spans="1:5" x14ac:dyDescent="0.2">
      <c r="A984" s="538" t="s">
        <v>413</v>
      </c>
      <c r="B984" s="530">
        <v>1</v>
      </c>
      <c r="C984" s="531" t="s">
        <v>151</v>
      </c>
      <c r="D984" s="532">
        <v>2500</v>
      </c>
      <c r="E984" s="533">
        <f t="shared" si="22"/>
        <v>2500</v>
      </c>
    </row>
    <row r="985" spans="1:5" x14ac:dyDescent="0.2">
      <c r="A985" s="539" t="s">
        <v>414</v>
      </c>
      <c r="B985" s="530"/>
      <c r="C985" s="531"/>
      <c r="D985" s="532"/>
      <c r="E985" s="540"/>
    </row>
    <row r="986" spans="1:5" x14ac:dyDescent="0.2">
      <c r="A986" s="529" t="s">
        <v>415</v>
      </c>
      <c r="B986" s="530">
        <v>1</v>
      </c>
      <c r="C986" s="531" t="s">
        <v>151</v>
      </c>
      <c r="D986" s="532">
        <v>1500</v>
      </c>
      <c r="E986" s="533">
        <f t="shared" ref="E986:E996" si="23">ROUND(B986*D986,2)</f>
        <v>1500</v>
      </c>
    </row>
    <row r="987" spans="1:5" x14ac:dyDescent="0.2">
      <c r="A987" s="538" t="s">
        <v>416</v>
      </c>
      <c r="B987" s="530">
        <v>1</v>
      </c>
      <c r="C987" s="531" t="s">
        <v>151</v>
      </c>
      <c r="D987" s="532">
        <v>850</v>
      </c>
      <c r="E987" s="533">
        <f t="shared" si="23"/>
        <v>850</v>
      </c>
    </row>
    <row r="988" spans="1:5" x14ac:dyDescent="0.2">
      <c r="A988" s="529" t="s">
        <v>417</v>
      </c>
      <c r="B988" s="530">
        <v>1</v>
      </c>
      <c r="C988" s="531" t="s">
        <v>151</v>
      </c>
      <c r="D988" s="532">
        <v>650</v>
      </c>
      <c r="E988" s="533">
        <f t="shared" si="23"/>
        <v>650</v>
      </c>
    </row>
    <row r="989" spans="1:5" x14ac:dyDescent="0.2">
      <c r="A989" s="529" t="s">
        <v>418</v>
      </c>
      <c r="B989" s="530">
        <v>1</v>
      </c>
      <c r="C989" s="531" t="s">
        <v>24</v>
      </c>
      <c r="D989" s="532">
        <v>550</v>
      </c>
      <c r="E989" s="533">
        <f t="shared" si="23"/>
        <v>550</v>
      </c>
    </row>
    <row r="990" spans="1:5" x14ac:dyDescent="0.2">
      <c r="A990" s="529" t="s">
        <v>419</v>
      </c>
      <c r="B990" s="530">
        <v>1</v>
      </c>
      <c r="C990" s="531" t="s">
        <v>24</v>
      </c>
      <c r="D990" s="532">
        <v>200</v>
      </c>
      <c r="E990" s="533">
        <f t="shared" si="23"/>
        <v>200</v>
      </c>
    </row>
    <row r="991" spans="1:5" x14ac:dyDescent="0.2">
      <c r="A991" s="529" t="s">
        <v>420</v>
      </c>
      <c r="B991" s="530">
        <v>6</v>
      </c>
      <c r="C991" s="531" t="s">
        <v>24</v>
      </c>
      <c r="D991" s="532">
        <v>225</v>
      </c>
      <c r="E991" s="533">
        <f t="shared" si="23"/>
        <v>1350</v>
      </c>
    </row>
    <row r="992" spans="1:5" x14ac:dyDescent="0.2">
      <c r="A992" s="529" t="s">
        <v>421</v>
      </c>
      <c r="B992" s="530">
        <v>12</v>
      </c>
      <c r="C992" s="531" t="s">
        <v>15</v>
      </c>
      <c r="D992" s="532">
        <v>10.86</v>
      </c>
      <c r="E992" s="533">
        <f t="shared" si="23"/>
        <v>130.32</v>
      </c>
    </row>
    <row r="993" spans="1:5" x14ac:dyDescent="0.2">
      <c r="A993" s="529" t="s">
        <v>422</v>
      </c>
      <c r="B993" s="530">
        <v>16.34</v>
      </c>
      <c r="C993" s="531" t="s">
        <v>16</v>
      </c>
      <c r="D993" s="532">
        <v>107.35</v>
      </c>
      <c r="E993" s="533">
        <f t="shared" si="23"/>
        <v>1754.1</v>
      </c>
    </row>
    <row r="994" spans="1:5" x14ac:dyDescent="0.2">
      <c r="A994" s="529" t="s">
        <v>423</v>
      </c>
      <c r="B994" s="530">
        <v>1</v>
      </c>
      <c r="C994" s="531" t="s">
        <v>24</v>
      </c>
      <c r="D994" s="532">
        <v>340.72</v>
      </c>
      <c r="E994" s="533">
        <f t="shared" si="23"/>
        <v>340.72</v>
      </c>
    </row>
    <row r="995" spans="1:5" x14ac:dyDescent="0.2">
      <c r="A995" s="529" t="s">
        <v>424</v>
      </c>
      <c r="B995" s="530">
        <v>1</v>
      </c>
      <c r="C995" s="531" t="s">
        <v>25</v>
      </c>
      <c r="D995" s="532">
        <v>5000</v>
      </c>
      <c r="E995" s="533">
        <f t="shared" si="23"/>
        <v>5000</v>
      </c>
    </row>
    <row r="996" spans="1:5" x14ac:dyDescent="0.2">
      <c r="A996" s="529" t="s">
        <v>51</v>
      </c>
      <c r="B996" s="530">
        <v>1</v>
      </c>
      <c r="C996" s="531" t="s">
        <v>25</v>
      </c>
      <c r="D996" s="532">
        <v>1500</v>
      </c>
      <c r="E996" s="533">
        <f t="shared" si="23"/>
        <v>1500</v>
      </c>
    </row>
    <row r="997" spans="1:5" ht="13.5" thickBot="1" x14ac:dyDescent="0.25">
      <c r="A997" s="541" t="s">
        <v>425</v>
      </c>
      <c r="B997" s="542"/>
      <c r="C997" s="1580" t="s">
        <v>426</v>
      </c>
      <c r="D997" s="1580"/>
      <c r="E997" s="543">
        <f>ROUND(SUM(E975:E996),2)</f>
        <v>26654.51</v>
      </c>
    </row>
    <row r="998" spans="1:5" ht="13.5" thickTop="1" x14ac:dyDescent="0.2">
      <c r="A998" s="322"/>
      <c r="B998" s="323"/>
      <c r="C998" s="322"/>
      <c r="D998" s="323"/>
      <c r="E998" s="323"/>
    </row>
    <row r="999" spans="1:5" ht="13.5" thickBot="1" x14ac:dyDescent="0.25">
      <c r="A999" s="1521" t="s">
        <v>427</v>
      </c>
      <c r="B999" s="1521"/>
      <c r="C999" s="1521"/>
      <c r="D999" s="1521"/>
      <c r="E999" s="1521"/>
    </row>
    <row r="1000" spans="1:5" ht="13.5" thickTop="1" x14ac:dyDescent="0.2">
      <c r="A1000" s="1522" t="s">
        <v>588</v>
      </c>
      <c r="B1000" s="1523">
        <v>4</v>
      </c>
      <c r="C1000" s="1524" t="s">
        <v>24</v>
      </c>
      <c r="D1000" s="1525">
        <v>855</v>
      </c>
      <c r="E1000" s="1526">
        <v>3420</v>
      </c>
    </row>
    <row r="1001" spans="1:5" x14ac:dyDescent="0.2">
      <c r="A1001" s="1527" t="s">
        <v>408</v>
      </c>
      <c r="B1001" s="1528">
        <v>4</v>
      </c>
      <c r="C1001" s="1529" t="s">
        <v>24</v>
      </c>
      <c r="D1001" s="1530">
        <v>34.950000000000003</v>
      </c>
      <c r="E1001" s="1531">
        <v>139.80000000000001</v>
      </c>
    </row>
    <row r="1002" spans="1:5" x14ac:dyDescent="0.2">
      <c r="A1002" s="1527" t="s">
        <v>39</v>
      </c>
      <c r="B1002" s="1528">
        <v>5.4</v>
      </c>
      <c r="C1002" s="1529" t="s">
        <v>16</v>
      </c>
      <c r="D1002" s="1530">
        <v>1352.54</v>
      </c>
      <c r="E1002" s="1531">
        <v>7303.7160000000003</v>
      </c>
    </row>
    <row r="1003" spans="1:5" x14ac:dyDescent="0.2">
      <c r="A1003" s="1527" t="s">
        <v>409</v>
      </c>
      <c r="B1003" s="1528">
        <v>2</v>
      </c>
      <c r="C1003" s="1529" t="s">
        <v>24</v>
      </c>
      <c r="D1003" s="1530">
        <v>316.2</v>
      </c>
      <c r="E1003" s="1531">
        <v>632.4</v>
      </c>
    </row>
    <row r="1004" spans="1:5" x14ac:dyDescent="0.2">
      <c r="A1004" s="1527" t="s">
        <v>265</v>
      </c>
      <c r="B1004" s="1528">
        <v>18</v>
      </c>
      <c r="C1004" s="1529" t="s">
        <v>24</v>
      </c>
      <c r="D1004" s="1530">
        <v>34.950000000000003</v>
      </c>
      <c r="E1004" s="1531">
        <v>629.1</v>
      </c>
    </row>
    <row r="1005" spans="1:5" x14ac:dyDescent="0.2">
      <c r="A1005" s="1527" t="s">
        <v>410</v>
      </c>
      <c r="B1005" s="1528">
        <v>2</v>
      </c>
      <c r="C1005" s="1529" t="s">
        <v>411</v>
      </c>
      <c r="D1005" s="1530">
        <v>243.9</v>
      </c>
      <c r="E1005" s="1531">
        <v>487.8</v>
      </c>
    </row>
    <row r="1006" spans="1:5" x14ac:dyDescent="0.2">
      <c r="A1006" s="1532" t="s">
        <v>413</v>
      </c>
      <c r="B1006" s="1528">
        <v>1</v>
      </c>
      <c r="C1006" s="1529" t="s">
        <v>151</v>
      </c>
      <c r="D1006" s="1530">
        <v>2500</v>
      </c>
      <c r="E1006" s="1531">
        <v>2500</v>
      </c>
    </row>
    <row r="1007" spans="1:5" x14ac:dyDescent="0.2">
      <c r="A1007" s="1533" t="s">
        <v>414</v>
      </c>
      <c r="B1007" s="1528"/>
      <c r="C1007" s="1529"/>
      <c r="D1007" s="1530"/>
      <c r="E1007" s="1531"/>
    </row>
    <row r="1008" spans="1:5" x14ac:dyDescent="0.2">
      <c r="A1008" s="1527" t="s">
        <v>589</v>
      </c>
      <c r="B1008" s="1528">
        <v>1</v>
      </c>
      <c r="C1008" s="1529" t="s">
        <v>151</v>
      </c>
      <c r="D1008" s="1530">
        <v>1800</v>
      </c>
      <c r="E1008" s="1531">
        <v>1800</v>
      </c>
    </row>
    <row r="1009" spans="1:5" x14ac:dyDescent="0.2">
      <c r="A1009" s="1532" t="s">
        <v>416</v>
      </c>
      <c r="B1009" s="1528">
        <v>1</v>
      </c>
      <c r="C1009" s="1529" t="s">
        <v>151</v>
      </c>
      <c r="D1009" s="1530">
        <v>780</v>
      </c>
      <c r="E1009" s="1531">
        <v>780</v>
      </c>
    </row>
    <row r="1010" spans="1:5" x14ac:dyDescent="0.2">
      <c r="A1010" s="1527" t="s">
        <v>417</v>
      </c>
      <c r="B1010" s="1528">
        <v>1</v>
      </c>
      <c r="C1010" s="1529" t="s">
        <v>151</v>
      </c>
      <c r="D1010" s="1530">
        <v>650</v>
      </c>
      <c r="E1010" s="1531">
        <v>650</v>
      </c>
    </row>
    <row r="1011" spans="1:5" x14ac:dyDescent="0.2">
      <c r="A1011" s="1527" t="s">
        <v>418</v>
      </c>
      <c r="B1011" s="1528">
        <v>1</v>
      </c>
      <c r="C1011" s="1529" t="s">
        <v>24</v>
      </c>
      <c r="D1011" s="1530">
        <v>450</v>
      </c>
      <c r="E1011" s="1531">
        <v>450</v>
      </c>
    </row>
    <row r="1012" spans="1:5" x14ac:dyDescent="0.2">
      <c r="A1012" s="1527" t="s">
        <v>419</v>
      </c>
      <c r="B1012" s="1528">
        <v>1</v>
      </c>
      <c r="C1012" s="1529" t="s">
        <v>24</v>
      </c>
      <c r="D1012" s="1530">
        <v>145</v>
      </c>
      <c r="E1012" s="1531">
        <v>145</v>
      </c>
    </row>
    <row r="1013" spans="1:5" x14ac:dyDescent="0.2">
      <c r="A1013" s="1527" t="s">
        <v>420</v>
      </c>
      <c r="B1013" s="1528">
        <v>6</v>
      </c>
      <c r="C1013" s="1529" t="s">
        <v>24</v>
      </c>
      <c r="D1013" s="1530">
        <v>87.65</v>
      </c>
      <c r="E1013" s="1531">
        <v>525.90000000000009</v>
      </c>
    </row>
    <row r="1014" spans="1:5" x14ac:dyDescent="0.2">
      <c r="A1014" s="1527" t="s">
        <v>421</v>
      </c>
      <c r="B1014" s="1528">
        <v>9</v>
      </c>
      <c r="C1014" s="1529" t="s">
        <v>15</v>
      </c>
      <c r="D1014" s="1530">
        <v>9.33</v>
      </c>
      <c r="E1014" s="1531">
        <v>83.97</v>
      </c>
    </row>
    <row r="1015" spans="1:5" x14ac:dyDescent="0.2">
      <c r="A1015" s="1527" t="s">
        <v>422</v>
      </c>
      <c r="B1015" s="1528">
        <v>9.66</v>
      </c>
      <c r="C1015" s="1529" t="s">
        <v>16</v>
      </c>
      <c r="D1015" s="1530">
        <v>107.35</v>
      </c>
      <c r="E1015" s="1531">
        <v>1037.001</v>
      </c>
    </row>
    <row r="1016" spans="1:5" x14ac:dyDescent="0.2">
      <c r="A1016" s="1527" t="s">
        <v>424</v>
      </c>
      <c r="B1016" s="1528">
        <v>1</v>
      </c>
      <c r="C1016" s="1529" t="s">
        <v>25</v>
      </c>
      <c r="D1016" s="1530">
        <v>1000</v>
      </c>
      <c r="E1016" s="1531">
        <v>1000</v>
      </c>
    </row>
    <row r="1017" spans="1:5" x14ac:dyDescent="0.2">
      <c r="A1017" s="1527" t="s">
        <v>51</v>
      </c>
      <c r="B1017" s="1528">
        <v>1</v>
      </c>
      <c r="C1017" s="1529" t="s">
        <v>25</v>
      </c>
      <c r="D1017" s="1530">
        <v>400</v>
      </c>
      <c r="E1017" s="1531">
        <v>400</v>
      </c>
    </row>
    <row r="1018" spans="1:5" ht="13.5" thickBot="1" x14ac:dyDescent="0.25">
      <c r="A1018" s="1534" t="s">
        <v>425</v>
      </c>
      <c r="B1018" s="1535"/>
      <c r="C1018" s="1579" t="s">
        <v>426</v>
      </c>
      <c r="D1018" s="1579"/>
      <c r="E1018" s="1536">
        <v>21984.69</v>
      </c>
    </row>
    <row r="1019" spans="1:5" ht="13.5" thickTop="1" x14ac:dyDescent="0.2">
      <c r="A1019" s="322"/>
      <c r="B1019" s="323"/>
      <c r="C1019" s="322"/>
      <c r="D1019" s="323"/>
      <c r="E1019" s="323"/>
    </row>
    <row r="1020" spans="1:5" ht="15" x14ac:dyDescent="0.25">
      <c r="A1020" s="1608" t="s">
        <v>428</v>
      </c>
      <c r="B1020" s="1608"/>
      <c r="C1020" s="1608"/>
      <c r="D1020" s="1608"/>
      <c r="E1020" s="1608"/>
    </row>
    <row r="1021" spans="1:5" ht="13.5" thickBot="1" x14ac:dyDescent="0.25">
      <c r="A1021" s="93"/>
      <c r="B1021" s="94"/>
      <c r="C1021" s="93"/>
      <c r="D1021" s="94"/>
      <c r="E1021" s="94"/>
    </row>
    <row r="1022" spans="1:5" ht="13.5" thickTop="1" x14ac:dyDescent="0.2">
      <c r="A1022" s="97" t="s">
        <v>429</v>
      </c>
      <c r="B1022" s="98">
        <v>1</v>
      </c>
      <c r="C1022" s="544" t="s">
        <v>24</v>
      </c>
      <c r="D1022" s="98">
        <v>75000</v>
      </c>
      <c r="E1022" s="116">
        <f>ROUND(B1022*D1022,2)</f>
        <v>75000</v>
      </c>
    </row>
    <row r="1023" spans="1:5" x14ac:dyDescent="0.2">
      <c r="A1023" s="107" t="s">
        <v>430</v>
      </c>
      <c r="B1023" s="108">
        <v>1</v>
      </c>
      <c r="C1023" s="331" t="s">
        <v>24</v>
      </c>
      <c r="D1023" s="108">
        <v>28898</v>
      </c>
      <c r="E1023" s="106">
        <f>ROUND(B1023*D1023,2)</f>
        <v>28898</v>
      </c>
    </row>
    <row r="1024" spans="1:5" x14ac:dyDescent="0.2">
      <c r="A1024" s="107" t="s">
        <v>431</v>
      </c>
      <c r="B1024" s="108">
        <v>1</v>
      </c>
      <c r="C1024" s="331" t="s">
        <v>25</v>
      </c>
      <c r="D1024" s="108">
        <v>12500</v>
      </c>
      <c r="E1024" s="106">
        <f>ROUND(B1024*D1024,2)</f>
        <v>12500</v>
      </c>
    </row>
    <row r="1025" spans="1:5" ht="13.5" thickBot="1" x14ac:dyDescent="0.25">
      <c r="A1025" s="117"/>
      <c r="B1025" s="128"/>
      <c r="C1025" s="223"/>
      <c r="D1025" s="128"/>
      <c r="E1025" s="118">
        <f>SUM(E1022:E1024)</f>
        <v>116398</v>
      </c>
    </row>
    <row r="1026" spans="1:5" ht="14.25" thickTop="1" thickBot="1" x14ac:dyDescent="0.25">
      <c r="A1026" s="93"/>
      <c r="B1026" s="94"/>
      <c r="C1026" s="93"/>
      <c r="D1026" s="94"/>
      <c r="E1026" s="94"/>
    </row>
    <row r="1027" spans="1:5" ht="13.5" thickTop="1" x14ac:dyDescent="0.2">
      <c r="A1027" s="97" t="s">
        <v>432</v>
      </c>
      <c r="B1027" s="98">
        <v>1</v>
      </c>
      <c r="C1027" s="330" t="s">
        <v>24</v>
      </c>
      <c r="D1027" s="98">
        <v>20000</v>
      </c>
      <c r="E1027" s="116">
        <f>ROUND(B1027*D1027,2)</f>
        <v>20000</v>
      </c>
    </row>
    <row r="1028" spans="1:5" x14ac:dyDescent="0.2">
      <c r="A1028" s="107"/>
      <c r="B1028" s="108"/>
      <c r="C1028" s="222"/>
      <c r="D1028" s="108"/>
      <c r="E1028" s="127"/>
    </row>
    <row r="1029" spans="1:5" ht="13.5" thickBot="1" x14ac:dyDescent="0.25">
      <c r="A1029" s="117" t="s">
        <v>433</v>
      </c>
      <c r="B1029" s="128">
        <v>1</v>
      </c>
      <c r="C1029" s="332" t="s">
        <v>25</v>
      </c>
      <c r="D1029" s="128">
        <v>7000</v>
      </c>
      <c r="E1029" s="400">
        <f>ROUND(B1029*D1029,2)</f>
        <v>7000</v>
      </c>
    </row>
    <row r="1030" spans="1:5" ht="13.5" thickTop="1" x14ac:dyDescent="0.2">
      <c r="A1030" s="93"/>
      <c r="B1030" s="94"/>
      <c r="C1030" s="93"/>
      <c r="D1030" s="94"/>
      <c r="E1030" s="94"/>
    </row>
    <row r="1031" spans="1:5" x14ac:dyDescent="0.2">
      <c r="A1031" s="1609" t="s">
        <v>434</v>
      </c>
      <c r="B1031" s="1609"/>
      <c r="C1031" s="1609"/>
      <c r="D1031" s="1609"/>
      <c r="E1031" s="1609"/>
    </row>
    <row r="1032" spans="1:5" x14ac:dyDescent="0.2">
      <c r="A1032" s="545" t="s">
        <v>435</v>
      </c>
      <c r="B1032" s="546"/>
      <c r="C1032" s="547"/>
      <c r="D1032" s="548"/>
      <c r="E1032" s="549"/>
    </row>
    <row r="1033" spans="1:5" x14ac:dyDescent="0.2">
      <c r="A1033" s="550" t="s">
        <v>436</v>
      </c>
      <c r="B1033" s="198">
        <v>1</v>
      </c>
      <c r="C1033" s="199" t="s">
        <v>10</v>
      </c>
      <c r="D1033" s="551">
        <v>150</v>
      </c>
      <c r="E1033" s="552">
        <f>B1033*D1033</f>
        <v>150</v>
      </c>
    </row>
    <row r="1034" spans="1:5" x14ac:dyDescent="0.2">
      <c r="A1034" s="553" t="s">
        <v>51</v>
      </c>
      <c r="B1034" s="552">
        <v>5</v>
      </c>
      <c r="C1034" s="554" t="s">
        <v>124</v>
      </c>
      <c r="D1034" s="552">
        <v>12</v>
      </c>
      <c r="E1034" s="552">
        <f>B1034*D1034</f>
        <v>60</v>
      </c>
    </row>
    <row r="1035" spans="1:5" x14ac:dyDescent="0.2">
      <c r="A1035" s="553"/>
      <c r="B1035" s="553"/>
      <c r="C1035" s="553"/>
      <c r="D1035" s="555" t="s">
        <v>437</v>
      </c>
      <c r="E1035" s="556">
        <f>SUM(E1033:E1034)</f>
        <v>210</v>
      </c>
    </row>
    <row r="1036" spans="1:5" x14ac:dyDescent="0.2">
      <c r="A1036" s="557"/>
      <c r="B1036" s="557"/>
      <c r="C1036" s="557"/>
      <c r="D1036" s="558"/>
      <c r="E1036" s="559"/>
    </row>
    <row r="1037" spans="1:5" x14ac:dyDescent="0.2">
      <c r="A1037" s="560" t="s">
        <v>438</v>
      </c>
      <c r="B1037" s="561"/>
      <c r="C1037" s="561"/>
      <c r="D1037" s="562"/>
      <c r="E1037" s="562"/>
    </row>
    <row r="1038" spans="1:5" ht="13.5" thickBot="1" x14ac:dyDescent="0.25">
      <c r="A1038" s="563"/>
      <c r="B1038" s="561"/>
      <c r="C1038" s="561"/>
      <c r="D1038" s="562"/>
      <c r="E1038" s="562"/>
    </row>
    <row r="1039" spans="1:5" ht="13.5" thickTop="1" x14ac:dyDescent="0.2">
      <c r="A1039" s="210" t="s">
        <v>439</v>
      </c>
      <c r="B1039" s="564">
        <v>4.5999999999999996</v>
      </c>
      <c r="C1039" s="565" t="s">
        <v>24</v>
      </c>
      <c r="D1039" s="564">
        <f>D6</f>
        <v>310</v>
      </c>
      <c r="E1039" s="566">
        <f>B1039*D1039</f>
        <v>1426</v>
      </c>
    </row>
    <row r="1040" spans="1:5" x14ac:dyDescent="0.2">
      <c r="A1040" s="567" t="s">
        <v>440</v>
      </c>
      <c r="B1040" s="568">
        <v>1</v>
      </c>
      <c r="C1040" s="569" t="s">
        <v>10</v>
      </c>
      <c r="D1040" s="570">
        <v>250</v>
      </c>
      <c r="E1040" s="566">
        <f>B1040*D1040</f>
        <v>250</v>
      </c>
    </row>
    <row r="1041" spans="1:5" x14ac:dyDescent="0.2">
      <c r="A1041" s="211" t="s">
        <v>118</v>
      </c>
      <c r="B1041" s="571">
        <v>0.4</v>
      </c>
      <c r="C1041" s="572" t="s">
        <v>10</v>
      </c>
      <c r="D1041" s="570">
        <f>E24</f>
        <v>1028.02</v>
      </c>
      <c r="E1041" s="566">
        <f>B1041*D1041</f>
        <v>411.20800000000003</v>
      </c>
    </row>
    <row r="1042" spans="1:5" x14ac:dyDescent="0.2">
      <c r="A1042" s="211" t="s">
        <v>114</v>
      </c>
      <c r="B1042" s="571">
        <v>27.62</v>
      </c>
      <c r="C1042" s="573" t="s">
        <v>23</v>
      </c>
      <c r="D1042" s="571">
        <v>2.5</v>
      </c>
      <c r="E1042" s="566">
        <f>B1042*D1042</f>
        <v>69.05</v>
      </c>
    </row>
    <row r="1043" spans="1:5" x14ac:dyDescent="0.2">
      <c r="A1043" s="211" t="s">
        <v>441</v>
      </c>
      <c r="B1043" s="571">
        <v>1</v>
      </c>
      <c r="C1043" s="573" t="s">
        <v>43</v>
      </c>
      <c r="D1043" s="571">
        <v>45</v>
      </c>
      <c r="E1043" s="566">
        <f>B1043*D1043</f>
        <v>45</v>
      </c>
    </row>
    <row r="1044" spans="1:5" x14ac:dyDescent="0.2">
      <c r="A1044" s="212"/>
      <c r="B1044" s="571"/>
      <c r="C1044" s="573"/>
      <c r="D1044" s="571"/>
      <c r="E1044" s="566"/>
    </row>
    <row r="1045" spans="1:5" x14ac:dyDescent="0.2">
      <c r="A1045" s="574" t="s">
        <v>159</v>
      </c>
      <c r="B1045" s="571"/>
      <c r="C1045" s="575"/>
      <c r="D1045" s="571"/>
      <c r="E1045" s="566"/>
    </row>
    <row r="1046" spans="1:5" x14ac:dyDescent="0.2">
      <c r="A1046" s="212" t="s">
        <v>442</v>
      </c>
      <c r="B1046" s="576">
        <v>1</v>
      </c>
      <c r="C1046" s="577" t="s">
        <v>10</v>
      </c>
      <c r="D1046" s="576">
        <v>659</v>
      </c>
      <c r="E1046" s="566">
        <f>B1046*D1046</f>
        <v>659</v>
      </c>
    </row>
    <row r="1047" spans="1:5" ht="13.5" thickBot="1" x14ac:dyDescent="0.25">
      <c r="A1047" s="212" t="s">
        <v>443</v>
      </c>
      <c r="B1047" s="576">
        <v>0.2</v>
      </c>
      <c r="C1047" s="577" t="s">
        <v>10</v>
      </c>
      <c r="D1047" s="576">
        <v>659</v>
      </c>
      <c r="E1047" s="578">
        <f>B1047*D1047</f>
        <v>131.80000000000001</v>
      </c>
    </row>
    <row r="1048" spans="1:5" ht="14.25" thickTop="1" thickBot="1" x14ac:dyDescent="0.25">
      <c r="A1048" s="579"/>
      <c r="B1048" s="580"/>
      <c r="C1048" s="580"/>
      <c r="D1048" s="581" t="s">
        <v>140</v>
      </c>
      <c r="E1048" s="582">
        <f>SUM(E1039:E1047)</f>
        <v>2992.0580000000004</v>
      </c>
    </row>
    <row r="1049" spans="1:5" ht="13.5" thickTop="1" x14ac:dyDescent="0.2">
      <c r="A1049" s="583"/>
      <c r="B1049" s="561"/>
      <c r="C1049" s="561"/>
      <c r="D1049" s="562"/>
      <c r="E1049" s="584"/>
    </row>
    <row r="1050" spans="1:5" x14ac:dyDescent="0.2">
      <c r="A1050" s="563" t="s">
        <v>444</v>
      </c>
      <c r="B1050" s="561">
        <v>0.2</v>
      </c>
      <c r="C1050" s="585" t="s">
        <v>445</v>
      </c>
      <c r="D1050" s="562">
        <f>E1048</f>
        <v>2992.0580000000004</v>
      </c>
      <c r="E1050" s="586">
        <f>ROUND(B1050*D1050,2)</f>
        <v>598.41</v>
      </c>
    </row>
    <row r="1051" spans="1:5" x14ac:dyDescent="0.2">
      <c r="A1051" s="563" t="s">
        <v>446</v>
      </c>
      <c r="B1051" s="561">
        <v>0.3</v>
      </c>
      <c r="C1051" s="585" t="s">
        <v>445</v>
      </c>
      <c r="D1051" s="562">
        <f>D1050</f>
        <v>2992.0580000000004</v>
      </c>
      <c r="E1051" s="586">
        <f>ROUND(B1051*D1051,2)</f>
        <v>897.62</v>
      </c>
    </row>
    <row r="1052" spans="1:5" x14ac:dyDescent="0.2">
      <c r="A1052" s="587"/>
      <c r="B1052" s="587"/>
      <c r="C1052" s="587"/>
      <c r="D1052" s="587"/>
      <c r="E1052" s="587"/>
    </row>
    <row r="1053" spans="1:5" x14ac:dyDescent="0.2">
      <c r="A1053" s="588" t="s">
        <v>447</v>
      </c>
      <c r="B1053" s="587"/>
      <c r="C1053" s="587"/>
      <c r="D1053" s="587"/>
      <c r="E1053" s="587"/>
    </row>
    <row r="1054" spans="1:5" x14ac:dyDescent="0.2">
      <c r="A1054" s="588" t="s">
        <v>448</v>
      </c>
      <c r="B1054" s="587"/>
      <c r="C1054" s="587"/>
      <c r="D1054" s="587"/>
      <c r="E1054" s="587"/>
    </row>
    <row r="1055" spans="1:5" x14ac:dyDescent="0.2">
      <c r="A1055" s="589" t="s">
        <v>449</v>
      </c>
      <c r="B1055" s="590">
        <v>1</v>
      </c>
      <c r="C1055" s="583" t="s">
        <v>450</v>
      </c>
      <c r="D1055" s="591">
        <v>0.2</v>
      </c>
      <c r="E1055" s="466"/>
    </row>
    <row r="1056" spans="1:5" x14ac:dyDescent="0.2">
      <c r="A1056" s="592" t="s">
        <v>451</v>
      </c>
      <c r="B1056" s="593">
        <f>0.8*B1055</f>
        <v>0.8</v>
      </c>
      <c r="C1056" s="594" t="s">
        <v>10</v>
      </c>
      <c r="D1056" s="593">
        <v>240.23</v>
      </c>
      <c r="E1056" s="595">
        <f>ROUND(B1056*D1056,2)</f>
        <v>192.18</v>
      </c>
    </row>
    <row r="1057" spans="1:5" x14ac:dyDescent="0.2">
      <c r="A1057" s="592" t="s">
        <v>106</v>
      </c>
      <c r="B1057" s="593">
        <f>0.96*B1055</f>
        <v>0.96</v>
      </c>
      <c r="C1057" s="594" t="s">
        <v>10</v>
      </c>
      <c r="D1057" s="593">
        <v>150</v>
      </c>
      <c r="E1057" s="595">
        <f>ROUND(B1057*D1057,2)</f>
        <v>144</v>
      </c>
    </row>
    <row r="1058" spans="1:5" x14ac:dyDescent="0.2">
      <c r="A1058" s="592" t="s">
        <v>452</v>
      </c>
      <c r="B1058" s="593">
        <f>0.08*B1055</f>
        <v>0.08</v>
      </c>
      <c r="C1058" s="594" t="s">
        <v>10</v>
      </c>
      <c r="D1058" s="593">
        <f>E30</f>
        <v>1178.02</v>
      </c>
      <c r="E1058" s="595">
        <f>ROUND(B1058*D1058,2)</f>
        <v>94.24</v>
      </c>
    </row>
    <row r="1059" spans="1:5" x14ac:dyDescent="0.2">
      <c r="A1059" s="592" t="s">
        <v>453</v>
      </c>
      <c r="B1059" s="593">
        <f>0.04*B1055</f>
        <v>0.04</v>
      </c>
      <c r="C1059" s="594" t="s">
        <v>10</v>
      </c>
      <c r="D1059" s="593">
        <f>E68</f>
        <v>4783.0078000000003</v>
      </c>
      <c r="E1059" s="595">
        <f>ROUND(B1059*D1059,2)</f>
        <v>191.32</v>
      </c>
    </row>
    <row r="1060" spans="1:5" x14ac:dyDescent="0.2">
      <c r="A1060" s="592" t="s">
        <v>454</v>
      </c>
      <c r="B1060" s="593">
        <f>1.64*B1055</f>
        <v>1.64</v>
      </c>
      <c r="C1060" s="594" t="s">
        <v>16</v>
      </c>
      <c r="D1060" s="593">
        <f>IF(D1055=0.2,E1050,E1051)</f>
        <v>598.41</v>
      </c>
      <c r="E1060" s="595">
        <f>ROUND(B1060*D1060,2)</f>
        <v>981.39</v>
      </c>
    </row>
    <row r="1061" spans="1:5" x14ac:dyDescent="0.2">
      <c r="A1061" s="596"/>
      <c r="B1061" s="593"/>
      <c r="C1061" s="596"/>
      <c r="D1061" s="555" t="s">
        <v>455</v>
      </c>
      <c r="E1061" s="597">
        <f>SUM(E1056:E1060)</f>
        <v>1603.13</v>
      </c>
    </row>
    <row r="1062" spans="1:5" x14ac:dyDescent="0.2">
      <c r="A1062" s="598"/>
      <c r="B1062" s="599"/>
      <c r="C1062" s="600"/>
      <c r="D1062" s="555" t="s">
        <v>456</v>
      </c>
      <c r="E1062" s="601">
        <f>+E1061/B1055</f>
        <v>1603.13</v>
      </c>
    </row>
    <row r="1063" spans="1:5" x14ac:dyDescent="0.2">
      <c r="A1063" s="93"/>
      <c r="B1063" s="94"/>
      <c r="C1063" s="602"/>
      <c r="D1063" s="94"/>
      <c r="E1063" s="94"/>
    </row>
    <row r="1064" spans="1:5" x14ac:dyDescent="0.2">
      <c r="A1064" s="93"/>
      <c r="B1064" s="94"/>
      <c r="C1064" s="93"/>
      <c r="D1064" s="94"/>
      <c r="E1064" s="94"/>
    </row>
    <row r="1065" spans="1:5" x14ac:dyDescent="0.2">
      <c r="A1065" s="588" t="s">
        <v>457</v>
      </c>
      <c r="B1065" s="587"/>
      <c r="C1065" s="587"/>
      <c r="D1065" s="587"/>
      <c r="E1065" s="587"/>
    </row>
    <row r="1066" spans="1:5" x14ac:dyDescent="0.2">
      <c r="A1066" s="589" t="s">
        <v>449</v>
      </c>
      <c r="B1066" s="590">
        <v>50.51</v>
      </c>
      <c r="C1066" s="583" t="s">
        <v>450</v>
      </c>
      <c r="D1066" s="591">
        <v>0.2</v>
      </c>
      <c r="E1066" s="466"/>
    </row>
    <row r="1067" spans="1:5" x14ac:dyDescent="0.2">
      <c r="A1067" s="592" t="s">
        <v>451</v>
      </c>
      <c r="B1067" s="593">
        <f>0.6*B1066</f>
        <v>30.305999999999997</v>
      </c>
      <c r="C1067" s="594" t="s">
        <v>10</v>
      </c>
      <c r="D1067" s="593">
        <v>240.23</v>
      </c>
      <c r="E1067" s="595">
        <f>ROUND(B1067*D1067,2)</f>
        <v>7280.41</v>
      </c>
    </row>
    <row r="1068" spans="1:5" x14ac:dyDescent="0.2">
      <c r="A1068" s="592" t="s">
        <v>106</v>
      </c>
      <c r="B1068" s="593">
        <f>0.72*B1066</f>
        <v>36.367199999999997</v>
      </c>
      <c r="C1068" s="594" t="s">
        <v>10</v>
      </c>
      <c r="D1068" s="593">
        <v>150</v>
      </c>
      <c r="E1068" s="595">
        <f>ROUND(B1068*D1068,2)</f>
        <v>5455.08</v>
      </c>
    </row>
    <row r="1069" spans="1:5" x14ac:dyDescent="0.2">
      <c r="A1069" s="592" t="s">
        <v>452</v>
      </c>
      <c r="B1069" s="593">
        <f>0.08*B1066</f>
        <v>4.0407999999999999</v>
      </c>
      <c r="C1069" s="594" t="s">
        <v>10</v>
      </c>
      <c r="D1069" s="593">
        <f>E30</f>
        <v>1178.02</v>
      </c>
      <c r="E1069" s="595">
        <f>ROUND(B1069*D1069,2)</f>
        <v>4760.1400000000003</v>
      </c>
    </row>
    <row r="1070" spans="1:5" x14ac:dyDescent="0.2">
      <c r="A1070" s="592" t="s">
        <v>453</v>
      </c>
      <c r="B1070" s="593">
        <f>0.04*B1066</f>
        <v>2.0204</v>
      </c>
      <c r="C1070" s="594" t="s">
        <v>10</v>
      </c>
      <c r="D1070" s="593">
        <f>E68</f>
        <v>4783.0078000000003</v>
      </c>
      <c r="E1070" s="595">
        <f>ROUND(B1070*D1070,2)</f>
        <v>9663.59</v>
      </c>
    </row>
    <row r="1071" spans="1:5" x14ac:dyDescent="0.2">
      <c r="A1071" s="592" t="s">
        <v>454</v>
      </c>
      <c r="B1071" s="593">
        <f>1.08*B1066</f>
        <v>54.550800000000002</v>
      </c>
      <c r="C1071" s="594" t="s">
        <v>16</v>
      </c>
      <c r="D1071" s="593">
        <f>IF(D1066=0.2,E1050,E1051)</f>
        <v>598.41</v>
      </c>
      <c r="E1071" s="595">
        <f>ROUND(B1071*D1071,2)</f>
        <v>32643.74</v>
      </c>
    </row>
    <row r="1072" spans="1:5" x14ac:dyDescent="0.2">
      <c r="A1072" s="596"/>
      <c r="B1072" s="593"/>
      <c r="C1072" s="596"/>
      <c r="D1072" s="555" t="s">
        <v>455</v>
      </c>
      <c r="E1072" s="597">
        <f>SUM(E1067:E1071)</f>
        <v>59802.960000000006</v>
      </c>
    </row>
    <row r="1073" spans="1:5" x14ac:dyDescent="0.2">
      <c r="A1073" s="598"/>
      <c r="B1073" s="599"/>
      <c r="C1073" s="600"/>
      <c r="D1073" s="555" t="s">
        <v>456</v>
      </c>
      <c r="E1073" s="601">
        <f>+E1072/B1066</f>
        <v>1183.982577707385</v>
      </c>
    </row>
    <row r="1074" spans="1:5" x14ac:dyDescent="0.2">
      <c r="A1074" s="93"/>
      <c r="B1074" s="94"/>
      <c r="C1074" s="93"/>
      <c r="D1074" s="94"/>
      <c r="E1074" s="94"/>
    </row>
    <row r="1075" spans="1:5" ht="13.5" thickBot="1" x14ac:dyDescent="0.25">
      <c r="A1075" s="603" t="s">
        <v>458</v>
      </c>
      <c r="B1075" s="604"/>
      <c r="C1075" s="605"/>
      <c r="D1075" s="604"/>
      <c r="E1075" s="604"/>
    </row>
    <row r="1076" spans="1:5" ht="13.5" thickTop="1" x14ac:dyDescent="0.2">
      <c r="A1076" s="606" t="s">
        <v>459</v>
      </c>
      <c r="B1076" s="607">
        <v>2</v>
      </c>
      <c r="C1076" s="608" t="s">
        <v>34</v>
      </c>
      <c r="D1076" s="607">
        <v>409.89</v>
      </c>
      <c r="E1076" s="116">
        <f>ROUND(B1076*D1076,2)</f>
        <v>819.78</v>
      </c>
    </row>
    <row r="1077" spans="1:5" x14ac:dyDescent="0.2">
      <c r="A1077" s="609" t="s">
        <v>460</v>
      </c>
      <c r="B1077" s="610">
        <v>1</v>
      </c>
      <c r="C1077" s="611" t="s">
        <v>24</v>
      </c>
      <c r="D1077" s="610">
        <v>2076.8000000000002</v>
      </c>
      <c r="E1077" s="106">
        <f>ROUND(B1077*D1077,2)</f>
        <v>2076.8000000000002</v>
      </c>
    </row>
    <row r="1078" spans="1:5" x14ac:dyDescent="0.2">
      <c r="A1078" s="612" t="s">
        <v>461</v>
      </c>
      <c r="B1078" s="613">
        <v>1</v>
      </c>
      <c r="C1078" s="614" t="s">
        <v>24</v>
      </c>
      <c r="D1078" s="613">
        <v>237.25</v>
      </c>
      <c r="E1078" s="106">
        <f>ROUND(B1078*D1078,2)</f>
        <v>237.25</v>
      </c>
    </row>
    <row r="1079" spans="1:5" ht="13.5" thickBot="1" x14ac:dyDescent="0.25">
      <c r="A1079" s="615"/>
      <c r="B1079" s="616"/>
      <c r="C1079" s="1569" t="s">
        <v>426</v>
      </c>
      <c r="D1079" s="1569"/>
      <c r="E1079" s="617">
        <f>SUM(E1076:E1078)</f>
        <v>3133.83</v>
      </c>
    </row>
    <row r="1080" spans="1:5" ht="13.5" thickTop="1" x14ac:dyDescent="0.2">
      <c r="A1080" s="93"/>
      <c r="B1080" s="94"/>
      <c r="C1080" s="93"/>
      <c r="D1080" s="94"/>
      <c r="E1080" s="94"/>
    </row>
    <row r="1081" spans="1:5" ht="13.5" thickBot="1" x14ac:dyDescent="0.25">
      <c r="A1081" s="603" t="s">
        <v>462</v>
      </c>
      <c r="B1081" s="604"/>
      <c r="C1081" s="605"/>
      <c r="D1081" s="604"/>
      <c r="E1081" s="604"/>
    </row>
    <row r="1082" spans="1:5" ht="13.5" thickTop="1" x14ac:dyDescent="0.2">
      <c r="A1082" s="606" t="s">
        <v>463</v>
      </c>
      <c r="B1082" s="607">
        <v>2</v>
      </c>
      <c r="C1082" s="608" t="s">
        <v>34</v>
      </c>
      <c r="D1082" s="607">
        <v>283.08999999999997</v>
      </c>
      <c r="E1082" s="116">
        <f>ROUND(B1082*D1082,2)</f>
        <v>566.17999999999995</v>
      </c>
    </row>
    <row r="1083" spans="1:5" x14ac:dyDescent="0.2">
      <c r="A1083" s="609" t="s">
        <v>464</v>
      </c>
      <c r="B1083" s="610">
        <v>1</v>
      </c>
      <c r="C1083" s="611" t="s">
        <v>24</v>
      </c>
      <c r="D1083" s="610">
        <v>1427.8</v>
      </c>
      <c r="E1083" s="106">
        <f>ROUND(B1083*D1083,2)</f>
        <v>1427.8</v>
      </c>
    </row>
    <row r="1084" spans="1:5" x14ac:dyDescent="0.2">
      <c r="A1084" s="612" t="s">
        <v>461</v>
      </c>
      <c r="B1084" s="613">
        <v>1</v>
      </c>
      <c r="C1084" s="614" t="s">
        <v>24</v>
      </c>
      <c r="D1084" s="613">
        <v>151.84</v>
      </c>
      <c r="E1084" s="106">
        <f>ROUND(B1084*D1084,2)</f>
        <v>151.84</v>
      </c>
    </row>
    <row r="1085" spans="1:5" ht="13.5" thickBot="1" x14ac:dyDescent="0.25">
      <c r="A1085" s="615"/>
      <c r="B1085" s="616"/>
      <c r="C1085" s="1569" t="s">
        <v>426</v>
      </c>
      <c r="D1085" s="1569"/>
      <c r="E1085" s="617">
        <f>SUM(E1082:E1084)</f>
        <v>2145.8200000000002</v>
      </c>
    </row>
    <row r="1086" spans="1:5" ht="13.5" thickTop="1" x14ac:dyDescent="0.2">
      <c r="A1086" s="93"/>
      <c r="B1086" s="94"/>
      <c r="C1086" s="93"/>
      <c r="D1086" s="94"/>
      <c r="E1086" s="94"/>
    </row>
    <row r="1087" spans="1:5" x14ac:dyDescent="0.2">
      <c r="A1087" s="618" t="s">
        <v>465</v>
      </c>
      <c r="B1087" s="604"/>
      <c r="C1087" s="605"/>
      <c r="D1087" s="604"/>
      <c r="E1087" s="604"/>
    </row>
    <row r="1088" spans="1:5" ht="13.5" thickBot="1" x14ac:dyDescent="0.25">
      <c r="A1088" s="603" t="s">
        <v>466</v>
      </c>
      <c r="B1088" s="604"/>
      <c r="C1088" s="605"/>
      <c r="D1088" s="604"/>
      <c r="E1088" s="604"/>
    </row>
    <row r="1089" spans="1:5" ht="13.5" thickTop="1" x14ac:dyDescent="0.2">
      <c r="A1089" s="606" t="s">
        <v>467</v>
      </c>
      <c r="B1089" s="607">
        <v>1</v>
      </c>
      <c r="C1089" s="608" t="s">
        <v>24</v>
      </c>
      <c r="D1089" s="607">
        <f>16800*1.18</f>
        <v>19824</v>
      </c>
      <c r="E1089" s="116">
        <f>ROUND(B1089*D1089,2)</f>
        <v>19824</v>
      </c>
    </row>
    <row r="1090" spans="1:5" x14ac:dyDescent="0.2">
      <c r="A1090" s="612" t="s">
        <v>461</v>
      </c>
      <c r="B1090" s="613">
        <v>1</v>
      </c>
      <c r="C1090" s="614" t="s">
        <v>24</v>
      </c>
      <c r="D1090" s="613">
        <v>504.38</v>
      </c>
      <c r="E1090" s="106">
        <f>ROUND(B1090*D1090,2)</f>
        <v>504.38</v>
      </c>
    </row>
    <row r="1091" spans="1:5" ht="13.5" thickBot="1" x14ac:dyDescent="0.25">
      <c r="A1091" s="615"/>
      <c r="B1091" s="616"/>
      <c r="C1091" s="619"/>
      <c r="D1091" s="616"/>
      <c r="E1091" s="617">
        <f>SUM(E1089:E1090)</f>
        <v>20328.38</v>
      </c>
    </row>
    <row r="1092" spans="1:5" ht="13.5" thickTop="1" x14ac:dyDescent="0.2">
      <c r="A1092" s="605"/>
      <c r="B1092" s="604"/>
      <c r="C1092" s="605"/>
      <c r="D1092" s="604"/>
      <c r="E1092" s="604"/>
    </row>
    <row r="1093" spans="1:5" ht="13.5" thickBot="1" x14ac:dyDescent="0.25">
      <c r="A1093" s="618" t="s">
        <v>468</v>
      </c>
      <c r="B1093" s="604"/>
      <c r="C1093" s="605"/>
      <c r="D1093" s="604"/>
      <c r="E1093" s="604"/>
    </row>
    <row r="1094" spans="1:5" ht="13.5" thickTop="1" x14ac:dyDescent="0.2">
      <c r="A1094" s="606" t="s">
        <v>469</v>
      </c>
      <c r="B1094" s="607">
        <v>1</v>
      </c>
      <c r="C1094" s="608" t="s">
        <v>24</v>
      </c>
      <c r="D1094" s="607">
        <f>11900*1.18</f>
        <v>14042</v>
      </c>
      <c r="E1094" s="116">
        <f>ROUND(B1094*D1094,2)</f>
        <v>14042</v>
      </c>
    </row>
    <row r="1095" spans="1:5" x14ac:dyDescent="0.2">
      <c r="A1095" s="609" t="s">
        <v>470</v>
      </c>
      <c r="B1095" s="610">
        <v>2</v>
      </c>
      <c r="C1095" s="611" t="s">
        <v>24</v>
      </c>
      <c r="D1095" s="610">
        <v>185.76</v>
      </c>
      <c r="E1095" s="106">
        <f>ROUND(B1095*D1095,2)</f>
        <v>371.52</v>
      </c>
    </row>
    <row r="1096" spans="1:5" x14ac:dyDescent="0.2">
      <c r="A1096" s="612" t="s">
        <v>461</v>
      </c>
      <c r="B1096" s="613">
        <v>1</v>
      </c>
      <c r="C1096" s="614" t="s">
        <v>24</v>
      </c>
      <c r="D1096" s="613">
        <v>504.38</v>
      </c>
      <c r="E1096" s="106">
        <f>ROUND(B1096*D1096,2)</f>
        <v>504.38</v>
      </c>
    </row>
    <row r="1097" spans="1:5" ht="13.5" thickBot="1" x14ac:dyDescent="0.25">
      <c r="A1097" s="615"/>
      <c r="B1097" s="616"/>
      <c r="C1097" s="619"/>
      <c r="D1097" s="616"/>
      <c r="E1097" s="617">
        <f>SUM(E1094:E1096)</f>
        <v>14917.9</v>
      </c>
    </row>
    <row r="1098" spans="1:5" ht="13.5" thickTop="1" x14ac:dyDescent="0.2">
      <c r="A1098" s="322"/>
      <c r="B1098" s="323"/>
      <c r="C1098" s="322"/>
      <c r="D1098" s="323"/>
      <c r="E1098" s="323"/>
    </row>
    <row r="1099" spans="1:5" ht="15.75" x14ac:dyDescent="0.25">
      <c r="A1099" s="1582" t="s">
        <v>471</v>
      </c>
      <c r="B1099" s="1582"/>
      <c r="C1099" s="1582"/>
      <c r="D1099" s="1582"/>
      <c r="E1099" s="1582"/>
    </row>
    <row r="1100" spans="1:5" ht="13.5" thickBot="1" x14ac:dyDescent="0.25">
      <c r="A1100" s="620" t="s">
        <v>472</v>
      </c>
      <c r="B1100" s="621"/>
      <c r="C1100" s="622"/>
      <c r="D1100" s="622"/>
      <c r="E1100" s="622"/>
    </row>
    <row r="1101" spans="1:5" ht="13.5" thickTop="1" x14ac:dyDescent="0.2">
      <c r="A1101" s="623" t="s">
        <v>473</v>
      </c>
      <c r="B1101" s="624">
        <v>1.05</v>
      </c>
      <c r="C1101" s="625" t="s">
        <v>10</v>
      </c>
      <c r="D1101" s="626">
        <f>+E39</f>
        <v>6350.6866</v>
      </c>
      <c r="E1101" s="627">
        <f>ROUND(B1101*D1101,2)</f>
        <v>6668.22</v>
      </c>
    </row>
    <row r="1102" spans="1:5" x14ac:dyDescent="0.2">
      <c r="A1102" s="628" t="s">
        <v>249</v>
      </c>
      <c r="B1102">
        <v>0.71</v>
      </c>
      <c r="C1102" s="629" t="s">
        <v>122</v>
      </c>
      <c r="D1102" s="630">
        <f>+E181</f>
        <v>2522.86</v>
      </c>
      <c r="E1102" s="631">
        <f>ROUND(B1102*D1102,2)</f>
        <v>1791.23</v>
      </c>
    </row>
    <row r="1103" spans="1:5" ht="13.5" thickBot="1" x14ac:dyDescent="0.25">
      <c r="A1103" s="200"/>
      <c r="B1103" s="201"/>
      <c r="C1103" s="201"/>
      <c r="D1103" s="203"/>
      <c r="E1103" s="632">
        <f>ROUND(SUM(E1101:E1102),2)</f>
        <v>8459.4500000000007</v>
      </c>
    </row>
    <row r="1104" spans="1:5" ht="13.5" thickTop="1" x14ac:dyDescent="0.2">
      <c r="A1104" s="633"/>
      <c r="B1104" s="633"/>
      <c r="C1104" s="633"/>
      <c r="D1104" s="589"/>
      <c r="E1104" s="634"/>
    </row>
    <row r="1105" spans="1:5" ht="13.5" thickBot="1" x14ac:dyDescent="0.25">
      <c r="A1105" s="635" t="s">
        <v>474</v>
      </c>
      <c r="B1105" s="636"/>
      <c r="C1105" s="637"/>
      <c r="D1105" s="637"/>
      <c r="E1105" s="637"/>
    </row>
    <row r="1106" spans="1:5" ht="13.5" thickTop="1" x14ac:dyDescent="0.2">
      <c r="A1106" s="638" t="s">
        <v>473</v>
      </c>
      <c r="B1106" s="639">
        <v>1.05</v>
      </c>
      <c r="C1106" s="640" t="s">
        <v>10</v>
      </c>
      <c r="D1106" s="641">
        <f>+D1101</f>
        <v>6350.6866</v>
      </c>
      <c r="E1106" s="642">
        <f>ROUND(B1106*D1106,2)</f>
        <v>6668.22</v>
      </c>
    </row>
    <row r="1107" spans="1:5" x14ac:dyDescent="0.2">
      <c r="A1107" s="643" t="s">
        <v>249</v>
      </c>
      <c r="B1107" s="644">
        <v>0.92</v>
      </c>
      <c r="C1107" s="645" t="s">
        <v>122</v>
      </c>
      <c r="D1107" s="646">
        <f>+D1102</f>
        <v>2522.86</v>
      </c>
      <c r="E1107" s="647">
        <f>ROUND(B1107*D1107,2)</f>
        <v>2321.0300000000002</v>
      </c>
    </row>
    <row r="1108" spans="1:5" ht="13.5" thickBot="1" x14ac:dyDescent="0.25">
      <c r="A1108" s="648"/>
      <c r="B1108" s="649"/>
      <c r="C1108" s="649"/>
      <c r="D1108" s="650" t="s">
        <v>475</v>
      </c>
      <c r="E1108" s="650">
        <f>ROUND(SUM(E1106:E1107),2)</f>
        <v>8989.25</v>
      </c>
    </row>
    <row r="1109" spans="1:5" ht="13.5" thickTop="1" x14ac:dyDescent="0.2"/>
    <row r="1110" spans="1:5" ht="13.5" thickBot="1" x14ac:dyDescent="0.25">
      <c r="A1110" s="635" t="s">
        <v>476</v>
      </c>
      <c r="B1110" s="636"/>
      <c r="C1110" s="637"/>
      <c r="D1110" s="637"/>
      <c r="E1110" s="637"/>
    </row>
    <row r="1111" spans="1:5" ht="13.5" thickTop="1" x14ac:dyDescent="0.2">
      <c r="A1111" s="638" t="s">
        <v>477</v>
      </c>
      <c r="B1111" s="639">
        <v>1.05</v>
      </c>
      <c r="C1111" s="640" t="s">
        <v>10</v>
      </c>
      <c r="D1111" s="641">
        <f>+D1188</f>
        <v>6350.6866</v>
      </c>
      <c r="E1111" s="642">
        <f>ROUND(B1111*D1111,2)</f>
        <v>6668.22</v>
      </c>
    </row>
    <row r="1112" spans="1:5" x14ac:dyDescent="0.2">
      <c r="A1112" s="643" t="s">
        <v>249</v>
      </c>
      <c r="B1112" s="651">
        <v>1.68</v>
      </c>
      <c r="C1112" s="645" t="s">
        <v>122</v>
      </c>
      <c r="D1112" s="646">
        <f>+E181</f>
        <v>2522.86</v>
      </c>
      <c r="E1112" s="647">
        <f>ROUND(B1112*D1112,2)</f>
        <v>4238.3999999999996</v>
      </c>
    </row>
    <row r="1113" spans="1:5" ht="13.5" thickBot="1" x14ac:dyDescent="0.25">
      <c r="A1113" s="648"/>
      <c r="B1113" s="649"/>
      <c r="C1113" s="649"/>
      <c r="D1113" s="650" t="s">
        <v>475</v>
      </c>
      <c r="E1113" s="650">
        <f>ROUND(SUM(E1111:E1112),2)</f>
        <v>10906.62</v>
      </c>
    </row>
    <row r="1114" spans="1:5" ht="13.5" thickTop="1" x14ac:dyDescent="0.2"/>
    <row r="1115" spans="1:5" ht="13.5" thickBot="1" x14ac:dyDescent="0.25">
      <c r="A1115" s="635" t="s">
        <v>478</v>
      </c>
      <c r="B1115" s="636"/>
      <c r="C1115" s="637"/>
      <c r="D1115" s="637"/>
      <c r="E1115" s="637"/>
    </row>
    <row r="1116" spans="1:5" ht="13.5" thickTop="1" x14ac:dyDescent="0.2">
      <c r="A1116" s="638" t="s">
        <v>477</v>
      </c>
      <c r="B1116" s="639">
        <v>1.05</v>
      </c>
      <c r="C1116" s="640" t="s">
        <v>10</v>
      </c>
      <c r="D1116" s="641">
        <f>+D1188</f>
        <v>6350.6866</v>
      </c>
      <c r="E1116" s="642">
        <f>ROUND(B1116*D1116,2)</f>
        <v>6668.22</v>
      </c>
    </row>
    <row r="1117" spans="1:5" x14ac:dyDescent="0.2">
      <c r="A1117" s="643" t="s">
        <v>249</v>
      </c>
      <c r="B1117" s="644">
        <v>1.97</v>
      </c>
      <c r="C1117" s="645" t="s">
        <v>122</v>
      </c>
      <c r="D1117" s="646">
        <f>E181</f>
        <v>2522.86</v>
      </c>
      <c r="E1117" s="647">
        <f>ROUND(B1117*D1117,2)</f>
        <v>4970.03</v>
      </c>
    </row>
    <row r="1118" spans="1:5" ht="13.5" thickBot="1" x14ac:dyDescent="0.25">
      <c r="A1118" s="648"/>
      <c r="B1118" s="649"/>
      <c r="C1118" s="649"/>
      <c r="D1118" s="652" t="s">
        <v>475</v>
      </c>
      <c r="E1118" s="652">
        <f>ROUND(SUM(E1116:E1117),2)</f>
        <v>11638.25</v>
      </c>
    </row>
    <row r="1119" spans="1:5" ht="13.5" thickTop="1" x14ac:dyDescent="0.2">
      <c r="A1119" s="633"/>
      <c r="B1119" s="633"/>
      <c r="C1119" s="633"/>
      <c r="D1119" s="589"/>
      <c r="E1119" s="634"/>
    </row>
    <row r="1120" spans="1:5" ht="13.5" thickBot="1" x14ac:dyDescent="0.25">
      <c r="A1120" s="635" t="s">
        <v>479</v>
      </c>
      <c r="B1120" s="636"/>
      <c r="C1120" s="636"/>
      <c r="D1120" s="637"/>
      <c r="E1120" s="637"/>
    </row>
    <row r="1121" spans="1:5" ht="13.5" thickTop="1" x14ac:dyDescent="0.2">
      <c r="A1121" t="s">
        <v>477</v>
      </c>
      <c r="B1121" s="639">
        <v>1.05</v>
      </c>
      <c r="C1121" s="640" t="s">
        <v>10</v>
      </c>
      <c r="D1121" s="641">
        <f>+E39</f>
        <v>6350.6866</v>
      </c>
      <c r="E1121" s="642">
        <f>ROUND(B1121*D1121,2)</f>
        <v>6668.22</v>
      </c>
    </row>
    <row r="1122" spans="1:5" x14ac:dyDescent="0.2">
      <c r="A1122" s="643" t="s">
        <v>249</v>
      </c>
      <c r="B1122" s="644">
        <v>1.23</v>
      </c>
      <c r="C1122" s="645" t="s">
        <v>122</v>
      </c>
      <c r="D1122" s="646">
        <f>+E181</f>
        <v>2522.86</v>
      </c>
      <c r="E1122" s="647">
        <f>ROUND(B1122*D1122,2)</f>
        <v>3103.12</v>
      </c>
    </row>
    <row r="1123" spans="1:5" x14ac:dyDescent="0.2">
      <c r="A1123" s="643" t="s">
        <v>281</v>
      </c>
      <c r="B1123" s="653">
        <f>1/0.15</f>
        <v>6.666666666666667</v>
      </c>
      <c r="C1123" t="s">
        <v>16</v>
      </c>
      <c r="D1123" s="646">
        <v>185</v>
      </c>
      <c r="E1123" s="647">
        <f>ROUND(B1123*D1123,2)</f>
        <v>1233.33</v>
      </c>
    </row>
    <row r="1124" spans="1:5" ht="13.5" thickBot="1" x14ac:dyDescent="0.25">
      <c r="A1124" s="648"/>
      <c r="B1124" s="649"/>
      <c r="C1124" s="649"/>
      <c r="D1124" t="s">
        <v>475</v>
      </c>
      <c r="E1124">
        <f>ROUND(SUM(E1121:E1123),2)</f>
        <v>11004.67</v>
      </c>
    </row>
    <row r="1125" spans="1:5" ht="13.5" thickTop="1" x14ac:dyDescent="0.2"/>
    <row r="1126" spans="1:5" ht="13.5" thickBot="1" x14ac:dyDescent="0.25">
      <c r="A1126" s="635" t="s">
        <v>480</v>
      </c>
      <c r="B1126" s="636"/>
      <c r="C1126" s="637"/>
      <c r="D1126" s="637"/>
      <c r="E1126" s="637"/>
    </row>
    <row r="1127" spans="1:5" ht="13.5" thickTop="1" x14ac:dyDescent="0.2">
      <c r="A1127" s="638" t="s">
        <v>477</v>
      </c>
      <c r="B1127" s="639">
        <v>1.05</v>
      </c>
      <c r="C1127" s="640" t="s">
        <v>10</v>
      </c>
      <c r="D1127" s="641">
        <f>+D1121</f>
        <v>6350.6866</v>
      </c>
      <c r="E1127" s="642">
        <f>ROUND(B1127*D1127,2)</f>
        <v>6668.22</v>
      </c>
    </row>
    <row r="1128" spans="1:5" x14ac:dyDescent="0.2">
      <c r="A1128" s="643" t="s">
        <v>249</v>
      </c>
      <c r="B1128" s="644">
        <v>2.5</v>
      </c>
      <c r="C1128" s="645" t="s">
        <v>122</v>
      </c>
      <c r="D1128" s="646">
        <f>+D1122</f>
        <v>2522.86</v>
      </c>
      <c r="E1128" s="647">
        <f>ROUND(B1128*D1128,2)</f>
        <v>6307.15</v>
      </c>
    </row>
    <row r="1129" spans="1:5" x14ac:dyDescent="0.2">
      <c r="A1129" s="643" t="s">
        <v>281</v>
      </c>
      <c r="B1129" s="654">
        <f>1/0.3</f>
        <v>3.3333333333333335</v>
      </c>
      <c r="C1129" t="s">
        <v>16</v>
      </c>
      <c r="D1129" s="646">
        <v>550</v>
      </c>
      <c r="E1129" s="647">
        <f>ROUND(B1129*D1129,2)</f>
        <v>1833.33</v>
      </c>
    </row>
    <row r="1130" spans="1:5" ht="13.5" thickBot="1" x14ac:dyDescent="0.25">
      <c r="A1130" s="648"/>
      <c r="B1130" s="649"/>
      <c r="C1130" s="649"/>
      <c r="D1130" t="s">
        <v>475</v>
      </c>
      <c r="E1130">
        <f>ROUND(SUM(E1127:E1129),2)</f>
        <v>14808.7</v>
      </c>
    </row>
    <row r="1131" spans="1:5" ht="13.5" thickTop="1" x14ac:dyDescent="0.2">
      <c r="A1131" s="655"/>
      <c r="B1131" s="655"/>
      <c r="C1131" s="655"/>
    </row>
    <row r="1132" spans="1:5" ht="13.5" thickBot="1" x14ac:dyDescent="0.25">
      <c r="A1132" s="635" t="s">
        <v>481</v>
      </c>
      <c r="B1132" s="636"/>
      <c r="C1132" s="637"/>
      <c r="D1132" s="637"/>
      <c r="E1132" s="637"/>
    </row>
    <row r="1133" spans="1:5" ht="13.5" thickTop="1" x14ac:dyDescent="0.2">
      <c r="A1133" s="638" t="s">
        <v>477</v>
      </c>
      <c r="B1133" s="639">
        <v>1.05</v>
      </c>
      <c r="C1133" s="640" t="s">
        <v>10</v>
      </c>
      <c r="D1133" s="641">
        <f>+D1127</f>
        <v>6350.6866</v>
      </c>
      <c r="E1133" s="642">
        <f>ROUND(B1133*D1133,2)</f>
        <v>6668.22</v>
      </c>
    </row>
    <row r="1134" spans="1:5" x14ac:dyDescent="0.2">
      <c r="A1134" s="643" t="s">
        <v>249</v>
      </c>
      <c r="B1134" s="644">
        <v>1.72</v>
      </c>
      <c r="C1134" s="645" t="s">
        <v>122</v>
      </c>
      <c r="D1134" s="646">
        <f>+D1122</f>
        <v>2522.86</v>
      </c>
      <c r="E1134" s="647">
        <f>ROUND(B1134*D1134,2)</f>
        <v>4339.32</v>
      </c>
    </row>
    <row r="1135" spans="1:5" x14ac:dyDescent="0.2">
      <c r="A1135" s="643" t="s">
        <v>281</v>
      </c>
      <c r="B1135">
        <v>4</v>
      </c>
      <c r="C1135" s="656" t="s">
        <v>16</v>
      </c>
      <c r="D1135" s="646">
        <v>550</v>
      </c>
      <c r="E1135" s="647">
        <f>ROUND(B1135*D1135,2)</f>
        <v>2200</v>
      </c>
    </row>
    <row r="1136" spans="1:5" ht="13.5" thickBot="1" x14ac:dyDescent="0.25">
      <c r="A1136" s="648"/>
      <c r="B1136" s="649"/>
      <c r="C1136" s="649"/>
      <c r="D1136" t="s">
        <v>475</v>
      </c>
      <c r="E1136">
        <f>ROUND(SUM(E1133:E1135),2)</f>
        <v>13207.54</v>
      </c>
    </row>
    <row r="1137" spans="1:5" ht="13.5" thickTop="1" x14ac:dyDescent="0.2">
      <c r="A1137" s="633"/>
      <c r="B1137" s="633"/>
      <c r="C1137" s="633"/>
      <c r="D1137" s="589"/>
      <c r="E1137" s="634"/>
    </row>
    <row r="1138" spans="1:5" ht="13.5" thickBot="1" x14ac:dyDescent="0.25">
      <c r="A1138" s="635" t="s">
        <v>482</v>
      </c>
      <c r="B1138" s="636"/>
      <c r="C1138" s="637"/>
    </row>
    <row r="1139" spans="1:5" ht="13.5" thickTop="1" x14ac:dyDescent="0.2">
      <c r="A1139" s="638" t="s">
        <v>477</v>
      </c>
      <c r="B1139" s="639">
        <v>1.05</v>
      </c>
      <c r="C1139" s="640" t="s">
        <v>10</v>
      </c>
      <c r="D1139" s="641">
        <f>+D1133</f>
        <v>6350.6866</v>
      </c>
      <c r="E1139" s="642">
        <f>ROUND(B1139*D1139,2)</f>
        <v>6668.22</v>
      </c>
    </row>
    <row r="1140" spans="1:5" x14ac:dyDescent="0.2">
      <c r="A1140" s="643" t="s">
        <v>249</v>
      </c>
      <c r="B1140" s="644">
        <v>3.83</v>
      </c>
      <c r="C1140" s="645" t="s">
        <v>122</v>
      </c>
      <c r="D1140" s="646">
        <f>+D1134</f>
        <v>2522.86</v>
      </c>
      <c r="E1140" s="647">
        <f>ROUND(B1140*D1140,2)</f>
        <v>9662.5499999999993</v>
      </c>
    </row>
    <row r="1141" spans="1:5" x14ac:dyDescent="0.2">
      <c r="A1141" s="643" t="s">
        <v>281</v>
      </c>
      <c r="B1141">
        <v>7.27</v>
      </c>
      <c r="C1141" s="657" t="s">
        <v>8</v>
      </c>
      <c r="D1141" s="646">
        <v>250</v>
      </c>
      <c r="E1141" s="647">
        <f>ROUND(B1141*D1141,2)</f>
        <v>1817.5</v>
      </c>
    </row>
    <row r="1142" spans="1:5" ht="13.5" thickBot="1" x14ac:dyDescent="0.25">
      <c r="A1142" s="648"/>
      <c r="B1142" s="649"/>
      <c r="C1142" s="649"/>
      <c r="D1142" t="s">
        <v>475</v>
      </c>
      <c r="E1142">
        <f>ROUND(SUM(E1139:E1141),2)</f>
        <v>18148.27</v>
      </c>
    </row>
    <row r="1143" spans="1:5" ht="13.5" thickTop="1" x14ac:dyDescent="0.2">
      <c r="A1143" s="633"/>
      <c r="B1143" s="633"/>
      <c r="C1143" s="633"/>
      <c r="D1143" s="589"/>
      <c r="E1143" s="634"/>
    </row>
    <row r="1144" spans="1:5" ht="13.5" thickBot="1" x14ac:dyDescent="0.25">
      <c r="A1144" s="635" t="s">
        <v>483</v>
      </c>
      <c r="B1144" s="636"/>
      <c r="C1144" s="637"/>
    </row>
    <row r="1145" spans="1:5" ht="13.5" thickTop="1" x14ac:dyDescent="0.2">
      <c r="A1145" s="638" t="s">
        <v>473</v>
      </c>
      <c r="B1145" s="639">
        <v>1.05</v>
      </c>
      <c r="C1145" s="640" t="s">
        <v>10</v>
      </c>
      <c r="D1145" s="641">
        <f>+D1101</f>
        <v>6350.6866</v>
      </c>
      <c r="E1145" s="642">
        <f>ROUND(B1145*D1145,2)</f>
        <v>6668.22</v>
      </c>
    </row>
    <row r="1146" spans="1:5" x14ac:dyDescent="0.2">
      <c r="A1146" s="643" t="s">
        <v>249</v>
      </c>
      <c r="B1146" s="654">
        <v>5</v>
      </c>
      <c r="C1146" s="645" t="s">
        <v>122</v>
      </c>
      <c r="D1146" s="646">
        <f>+D1102</f>
        <v>2522.86</v>
      </c>
      <c r="E1146" s="647">
        <f>ROUND(B1146*D1146,2)</f>
        <v>12614.3</v>
      </c>
    </row>
    <row r="1147" spans="1:5" x14ac:dyDescent="0.2">
      <c r="A1147" s="643" t="s">
        <v>281</v>
      </c>
      <c r="B1147">
        <v>8.16</v>
      </c>
      <c r="C1147" s="657" t="s">
        <v>8</v>
      </c>
      <c r="D1147" s="646">
        <v>325</v>
      </c>
      <c r="E1147" s="647">
        <f>ROUND(B1147*D1147,2)</f>
        <v>2652</v>
      </c>
    </row>
    <row r="1148" spans="1:5" ht="13.5" thickBot="1" x14ac:dyDescent="0.25">
      <c r="A1148" s="648"/>
      <c r="B1148" s="649"/>
      <c r="C1148" s="649"/>
      <c r="D1148" t="s">
        <v>140</v>
      </c>
      <c r="E1148">
        <f>ROUND(SUM(E1145:E1147),2)</f>
        <v>21934.52</v>
      </c>
    </row>
    <row r="1149" spans="1:5" ht="13.5" thickTop="1" x14ac:dyDescent="0.2"/>
    <row r="1150" spans="1:5" ht="13.5" thickBot="1" x14ac:dyDescent="0.25">
      <c r="A1150" s="635" t="s">
        <v>484</v>
      </c>
      <c r="B1150" s="636"/>
      <c r="C1150" s="637"/>
    </row>
    <row r="1151" spans="1:5" ht="13.5" thickTop="1" x14ac:dyDescent="0.2">
      <c r="A1151" s="638" t="s">
        <v>473</v>
      </c>
      <c r="B1151" s="639">
        <v>1.05</v>
      </c>
      <c r="C1151" s="640" t="s">
        <v>10</v>
      </c>
      <c r="D1151" s="641">
        <f>+D1145</f>
        <v>6350.6866</v>
      </c>
      <c r="E1151" s="642">
        <f>ROUND(B1151*D1151,2)</f>
        <v>6668.22</v>
      </c>
    </row>
    <row r="1152" spans="1:5" x14ac:dyDescent="0.2">
      <c r="A1152" s="643" t="s">
        <v>249</v>
      </c>
      <c r="B1152" s="654">
        <v>4</v>
      </c>
      <c r="C1152" s="645" t="s">
        <v>122</v>
      </c>
      <c r="D1152" s="646">
        <f>+D1102</f>
        <v>2522.86</v>
      </c>
      <c r="E1152" s="647">
        <f>ROUND(B1152*D1152,2)</f>
        <v>10091.44</v>
      </c>
    </row>
    <row r="1153" spans="1:5" x14ac:dyDescent="0.2">
      <c r="A1153" s="643" t="s">
        <v>281</v>
      </c>
      <c r="B1153">
        <v>6.25</v>
      </c>
      <c r="C1153" s="657" t="s">
        <v>8</v>
      </c>
      <c r="D1153" s="646">
        <v>325</v>
      </c>
      <c r="E1153" s="647">
        <f>ROUND(B1153*D1153,2)</f>
        <v>2031.25</v>
      </c>
    </row>
    <row r="1154" spans="1:5" ht="13.5" thickBot="1" x14ac:dyDescent="0.25">
      <c r="A1154" s="648"/>
      <c r="B1154" s="649"/>
      <c r="C1154" s="649"/>
      <c r="D1154" t="s">
        <v>140</v>
      </c>
      <c r="E1154">
        <f>ROUND(SUM(E1151:E1153),2)</f>
        <v>18790.91</v>
      </c>
    </row>
    <row r="1155" spans="1:5" ht="13.5" thickTop="1" x14ac:dyDescent="0.2">
      <c r="A1155" s="658"/>
      <c r="B1155" s="658"/>
      <c r="C1155" s="658"/>
      <c r="D1155" s="659"/>
      <c r="E1155" s="660"/>
    </row>
    <row r="1156" spans="1:5" x14ac:dyDescent="0.2">
      <c r="A1156" s="1583" t="s">
        <v>485</v>
      </c>
      <c r="B1156" s="1583"/>
      <c r="C1156" s="1583"/>
      <c r="D1156" s="1583"/>
      <c r="E1156" s="1583"/>
    </row>
    <row r="1157" spans="1:5" ht="13.5" thickBot="1" x14ac:dyDescent="0.25">
      <c r="A1157" s="635" t="s">
        <v>486</v>
      </c>
      <c r="B1157" s="636"/>
      <c r="C1157" s="636"/>
      <c r="D1157" s="637"/>
      <c r="E1157" s="637"/>
    </row>
    <row r="1158" spans="1:5" ht="13.5" thickTop="1" x14ac:dyDescent="0.2">
      <c r="A1158" s="60" t="s">
        <v>487</v>
      </c>
      <c r="B1158" s="639">
        <v>1.05</v>
      </c>
      <c r="C1158" s="640" t="s">
        <v>10</v>
      </c>
      <c r="D1158" s="641">
        <f>+E58</f>
        <v>5402.0865999999996</v>
      </c>
      <c r="E1158" s="642">
        <f>ROUND(B1158*D1158,2)</f>
        <v>5672.19</v>
      </c>
    </row>
    <row r="1159" spans="1:5" x14ac:dyDescent="0.2">
      <c r="A1159" s="643" t="s">
        <v>249</v>
      </c>
      <c r="B1159" s="644">
        <v>0.84</v>
      </c>
      <c r="C1159" s="645" t="s">
        <v>122</v>
      </c>
      <c r="D1159" s="646">
        <f>+D1152</f>
        <v>2522.86</v>
      </c>
      <c r="E1159" s="647">
        <f>ROUND(B1159*D1159,2)</f>
        <v>2119.1999999999998</v>
      </c>
    </row>
    <row r="1160" spans="1:5" x14ac:dyDescent="0.2">
      <c r="A1160" s="643" t="s">
        <v>281</v>
      </c>
      <c r="B1160" s="644">
        <v>8.33</v>
      </c>
      <c r="C1160" t="s">
        <v>16</v>
      </c>
      <c r="D1160" s="646">
        <v>185</v>
      </c>
      <c r="E1160" s="647">
        <f>ROUND(B1160*D1160,2)</f>
        <v>1541.05</v>
      </c>
    </row>
    <row r="1161" spans="1:5" ht="13.5" thickBot="1" x14ac:dyDescent="0.25">
      <c r="A1161" s="648"/>
      <c r="B1161" s="649"/>
      <c r="C1161" s="649"/>
      <c r="D1161" t="s">
        <v>475</v>
      </c>
      <c r="E1161">
        <f>ROUND(SUM(E1158:E1160),2)</f>
        <v>9332.44</v>
      </c>
    </row>
    <row r="1162" spans="1:5" ht="13.5" thickTop="1" x14ac:dyDescent="0.2">
      <c r="A1162" s="658"/>
      <c r="B1162" s="658"/>
      <c r="C1162" s="658"/>
      <c r="D1162" s="659"/>
      <c r="E1162" s="660"/>
    </row>
    <row r="1163" spans="1:5" ht="13.5" thickBot="1" x14ac:dyDescent="0.25">
      <c r="A1163" s="635" t="s">
        <v>488</v>
      </c>
      <c r="B1163" s="636"/>
      <c r="C1163" s="637"/>
    </row>
    <row r="1164" spans="1:5" ht="13.5" thickTop="1" x14ac:dyDescent="0.2">
      <c r="A1164" s="60" t="s">
        <v>489</v>
      </c>
      <c r="B1164" s="639">
        <v>1.05</v>
      </c>
      <c r="C1164" s="640" t="s">
        <v>10</v>
      </c>
      <c r="D1164" s="641">
        <f>+D1158</f>
        <v>5402.0865999999996</v>
      </c>
      <c r="E1164" s="642">
        <f>ROUND(B1164*D1164,2)</f>
        <v>5672.19</v>
      </c>
    </row>
    <row r="1165" spans="1:5" x14ac:dyDescent="0.2">
      <c r="A1165" s="643" t="s">
        <v>249</v>
      </c>
      <c r="B1165">
        <v>3.18</v>
      </c>
      <c r="C1165" s="645" t="s">
        <v>122</v>
      </c>
      <c r="D1165" s="646">
        <f>+D1159</f>
        <v>2522.86</v>
      </c>
      <c r="E1165" s="647">
        <f>ROUND(B1165*D1165,2)</f>
        <v>8022.69</v>
      </c>
    </row>
    <row r="1166" spans="1:5" x14ac:dyDescent="0.2">
      <c r="A1166" s="643" t="s">
        <v>281</v>
      </c>
      <c r="B1166">
        <v>33.33</v>
      </c>
      <c r="C1166" t="s">
        <v>16</v>
      </c>
      <c r="D1166" s="646">
        <v>250</v>
      </c>
      <c r="E1166" s="647">
        <f>ROUND(B1166*D1166,2)</f>
        <v>8332.5</v>
      </c>
    </row>
    <row r="1167" spans="1:5" ht="13.5" thickBot="1" x14ac:dyDescent="0.25">
      <c r="A1167" s="648"/>
      <c r="B1167" s="649"/>
      <c r="C1167" s="649"/>
      <c r="D1167" t="s">
        <v>475</v>
      </c>
      <c r="E1167">
        <f>ROUND(SUM(E1164:E1166),2)</f>
        <v>22027.38</v>
      </c>
    </row>
    <row r="1168" spans="1:5" ht="13.5" thickTop="1" x14ac:dyDescent="0.2"/>
    <row r="1169" spans="1:5" x14ac:dyDescent="0.2">
      <c r="A1169" s="658"/>
      <c r="B1169" s="658"/>
      <c r="C1169" s="658"/>
      <c r="D1169" s="659"/>
      <c r="E1169" s="660"/>
    </row>
    <row r="1170" spans="1:5" x14ac:dyDescent="0.2">
      <c r="A1170" s="1583" t="s">
        <v>490</v>
      </c>
      <c r="B1170" s="1583"/>
      <c r="C1170" s="1583"/>
      <c r="D1170" s="1583"/>
      <c r="E1170" s="1583"/>
    </row>
    <row r="1171" spans="1:5" ht="12" customHeight="1" thickBot="1" x14ac:dyDescent="0.25">
      <c r="A1171" s="661" t="s">
        <v>472</v>
      </c>
      <c r="B1171" s="662"/>
      <c r="C1171" s="663"/>
      <c r="D1171" s="663"/>
      <c r="E1171" s="663"/>
    </row>
    <row r="1172" spans="1:5" ht="12" customHeight="1" x14ac:dyDescent="0.2">
      <c r="A1172" s="664" t="s">
        <v>487</v>
      </c>
      <c r="B1172">
        <v>1.05</v>
      </c>
      <c r="C1172" t="s">
        <v>10</v>
      </c>
      <c r="D1172">
        <f>+E58</f>
        <v>5402.0865999999996</v>
      </c>
      <c r="E1172">
        <f>ROUND(B1172*D1172,2)</f>
        <v>5672.19</v>
      </c>
    </row>
    <row r="1173" spans="1:5" ht="12" customHeight="1" x14ac:dyDescent="0.2">
      <c r="A1173" t="s">
        <v>249</v>
      </c>
      <c r="B1173" s="663">
        <v>0.71</v>
      </c>
      <c r="C1173" t="s">
        <v>122</v>
      </c>
      <c r="D1173">
        <f>+D1165</f>
        <v>2522.86</v>
      </c>
      <c r="E1173">
        <f>ROUND(B1173*D1173,2)</f>
        <v>1791.23</v>
      </c>
    </row>
    <row r="1174" spans="1:5" ht="12" customHeight="1" x14ac:dyDescent="0.2">
      <c r="E1174">
        <f>ROUND(SUM(E1172:E1173),2)</f>
        <v>7463.42</v>
      </c>
    </row>
    <row r="1176" spans="1:5" ht="13.5" thickBot="1" x14ac:dyDescent="0.25">
      <c r="A1176" s="635" t="s">
        <v>491</v>
      </c>
      <c r="B1176" s="636"/>
      <c r="C1176" s="637"/>
      <c r="D1176" s="637"/>
      <c r="E1176" s="637"/>
    </row>
    <row r="1177" spans="1:5" ht="13.5" thickTop="1" x14ac:dyDescent="0.2">
      <c r="A1177" s="638" t="s">
        <v>487</v>
      </c>
      <c r="B1177" s="639">
        <v>1.05</v>
      </c>
      <c r="C1177" s="640" t="s">
        <v>10</v>
      </c>
      <c r="D1177" s="641">
        <f>+E58</f>
        <v>5402.0865999999996</v>
      </c>
      <c r="E1177" s="642">
        <f>ROUND(B1177*D1177,2)</f>
        <v>5672.19</v>
      </c>
    </row>
    <row r="1178" spans="1:5" x14ac:dyDescent="0.2">
      <c r="A1178" s="643" t="s">
        <v>249</v>
      </c>
      <c r="B1178" s="644">
        <v>1.08</v>
      </c>
      <c r="C1178" s="645" t="s">
        <v>122</v>
      </c>
      <c r="D1178" s="646">
        <f>+D1173</f>
        <v>2522.86</v>
      </c>
      <c r="E1178" s="647">
        <f>ROUND(B1178*D1178,2)</f>
        <v>2724.69</v>
      </c>
    </row>
    <row r="1179" spans="1:5" ht="13.5" thickBot="1" x14ac:dyDescent="0.25">
      <c r="A1179" s="648"/>
      <c r="B1179" s="649"/>
      <c r="C1179" s="649"/>
      <c r="E1179">
        <f>ROUND(SUM(E1177:E1178),2)</f>
        <v>8396.8799999999992</v>
      </c>
    </row>
    <row r="1180" spans="1:5" ht="13.5" thickTop="1" x14ac:dyDescent="0.2">
      <c r="A1180" s="658"/>
      <c r="B1180" s="658"/>
      <c r="C1180" s="658"/>
      <c r="D1180" s="659"/>
      <c r="E1180" s="660"/>
    </row>
    <row r="1181" spans="1:5" ht="13.5" thickBot="1" x14ac:dyDescent="0.25">
      <c r="A1181" s="635" t="s">
        <v>492</v>
      </c>
      <c r="B1181" s="636"/>
      <c r="C1181" s="637"/>
    </row>
    <row r="1182" spans="1:5" ht="13.5" thickTop="1" x14ac:dyDescent="0.2">
      <c r="A1182" s="638" t="s">
        <v>487</v>
      </c>
      <c r="B1182" s="639">
        <v>1.05</v>
      </c>
      <c r="C1182" s="640" t="s">
        <v>10</v>
      </c>
      <c r="D1182" s="641">
        <f>+E58</f>
        <v>5402.0865999999996</v>
      </c>
      <c r="E1182" s="642">
        <f>ROUND(B1182*D1182,2)</f>
        <v>5672.19</v>
      </c>
    </row>
    <row r="1183" spans="1:5" x14ac:dyDescent="0.2">
      <c r="A1183" s="643" t="s">
        <v>249</v>
      </c>
      <c r="B1183" s="644">
        <v>3.15</v>
      </c>
      <c r="C1183" s="645" t="s">
        <v>122</v>
      </c>
      <c r="D1183" s="646">
        <f>+D1178</f>
        <v>2522.86</v>
      </c>
      <c r="E1183" s="647">
        <f>ROUND(B1183*D1183,2)</f>
        <v>7947.01</v>
      </c>
    </row>
    <row r="1184" spans="1:5" x14ac:dyDescent="0.2">
      <c r="A1184" s="643" t="s">
        <v>281</v>
      </c>
      <c r="B1184">
        <v>22.22</v>
      </c>
      <c r="C1184" t="s">
        <v>16</v>
      </c>
      <c r="D1184" s="646">
        <v>250</v>
      </c>
      <c r="E1184" s="647">
        <f>ROUND(B1184*D1184,2)</f>
        <v>5555</v>
      </c>
    </row>
    <row r="1185" spans="1:5" ht="13.5" thickBot="1" x14ac:dyDescent="0.25">
      <c r="A1185" s="648"/>
      <c r="B1185" s="649"/>
      <c r="C1185" s="649"/>
      <c r="D1185" t="s">
        <v>475</v>
      </c>
      <c r="E1185">
        <f>ROUND(SUM(E1182:E1184),2)</f>
        <v>19174.2</v>
      </c>
    </row>
    <row r="1186" spans="1:5" ht="13.5" thickTop="1" x14ac:dyDescent="0.2">
      <c r="A1186" s="658"/>
      <c r="B1186" s="658"/>
      <c r="C1186" s="658"/>
      <c r="D1186" s="659"/>
      <c r="E1186" s="660"/>
    </row>
    <row r="1187" spans="1:5" ht="13.5" thickBot="1" x14ac:dyDescent="0.25">
      <c r="A1187" s="661" t="s">
        <v>493</v>
      </c>
      <c r="B1187" s="662"/>
      <c r="C1187" s="663"/>
      <c r="D1187" s="665"/>
      <c r="E1187" s="666"/>
    </row>
    <row r="1188" spans="1:5" ht="13.5" thickTop="1" x14ac:dyDescent="0.2">
      <c r="A1188" s="638" t="s">
        <v>487</v>
      </c>
      <c r="B1188" s="667">
        <v>1.05</v>
      </c>
      <c r="C1188" s="668" t="s">
        <v>10</v>
      </c>
      <c r="D1188" s="669">
        <f>+D1151</f>
        <v>6350.6866</v>
      </c>
      <c r="E1188" s="670">
        <f>B1188*D1188</f>
        <v>6668.2209300000004</v>
      </c>
    </row>
    <row r="1189" spans="1:5" x14ac:dyDescent="0.2">
      <c r="A1189" s="671" t="s">
        <v>249</v>
      </c>
      <c r="B1189">
        <v>2.9</v>
      </c>
      <c r="C1189" s="672" t="s">
        <v>122</v>
      </c>
      <c r="D1189" s="673">
        <f>+D1102</f>
        <v>2522.86</v>
      </c>
      <c r="E1189" s="674">
        <f>B1189*D1189</f>
        <v>7316.2939999999999</v>
      </c>
    </row>
    <row r="1190" spans="1:5" x14ac:dyDescent="0.2">
      <c r="A1190" s="671" t="s">
        <v>281</v>
      </c>
      <c r="B1190" s="675">
        <v>16.670000000000002</v>
      </c>
      <c r="C1190" s="676" t="s">
        <v>16</v>
      </c>
      <c r="D1190" s="673">
        <v>325</v>
      </c>
      <c r="E1190" s="674">
        <f>B1190*D1190</f>
        <v>5417.7500000000009</v>
      </c>
    </row>
    <row r="1191" spans="1:5" ht="13.5" thickBot="1" x14ac:dyDescent="0.25">
      <c r="A1191" s="677"/>
      <c r="B1191" s="678"/>
      <c r="C1191" s="678"/>
      <c r="D1191" s="679" t="s">
        <v>140</v>
      </c>
      <c r="E1191" s="680">
        <f>ROUND(SUM(E1188:E1190),2)</f>
        <v>19402.259999999998</v>
      </c>
    </row>
    <row r="1192" spans="1:5" ht="13.5" thickTop="1" x14ac:dyDescent="0.2">
      <c r="A1192" s="633"/>
      <c r="B1192" s="633"/>
      <c r="C1192" s="633"/>
      <c r="D1192" s="589"/>
      <c r="E1192" s="634"/>
    </row>
    <row r="1194" spans="1:5" ht="13.5" thickBot="1" x14ac:dyDescent="0.25">
      <c r="A1194" s="635" t="s">
        <v>494</v>
      </c>
      <c r="B1194" s="636"/>
      <c r="C1194" s="637"/>
      <c r="D1194" s="637"/>
      <c r="E1194" s="637"/>
    </row>
    <row r="1195" spans="1:5" ht="13.5" thickTop="1" x14ac:dyDescent="0.2">
      <c r="A1195" s="664" t="s">
        <v>477</v>
      </c>
      <c r="B1195" s="639">
        <v>1.05</v>
      </c>
      <c r="C1195" s="640" t="s">
        <v>10</v>
      </c>
      <c r="D1195" s="641">
        <f>+D1188</f>
        <v>6350.6866</v>
      </c>
      <c r="E1195" s="642">
        <f>ROUND(B1195*D1195,2)</f>
        <v>6668.22</v>
      </c>
    </row>
    <row r="1196" spans="1:5" x14ac:dyDescent="0.2">
      <c r="A1196" s="643" t="s">
        <v>249</v>
      </c>
      <c r="B1196" s="681">
        <v>2.44</v>
      </c>
      <c r="C1196" s="645" t="s">
        <v>122</v>
      </c>
      <c r="D1196" s="646">
        <f>+D1117</f>
        <v>2522.86</v>
      </c>
      <c r="E1196" s="647">
        <f>ROUND(B1196*D1196,2)</f>
        <v>6155.78</v>
      </c>
    </row>
    <row r="1197" spans="1:5" x14ac:dyDescent="0.2">
      <c r="A1197" s="643" t="s">
        <v>281</v>
      </c>
      <c r="B1197" s="682">
        <v>3.33</v>
      </c>
      <c r="C1197" s="683" t="s">
        <v>16</v>
      </c>
      <c r="D1197" s="646">
        <v>550</v>
      </c>
      <c r="E1197" s="647">
        <f>ROUND(B1197*D1197,2)</f>
        <v>1831.5</v>
      </c>
    </row>
    <row r="1198" spans="1:5" ht="13.5" thickBot="1" x14ac:dyDescent="0.25">
      <c r="A1198" s="648"/>
      <c r="B1198" s="649"/>
      <c r="C1198" s="649"/>
      <c r="D1198" s="684" t="s">
        <v>475</v>
      </c>
      <c r="E1198" s="685">
        <f>ROUND(SUM(E1195:E1197),2)</f>
        <v>14655.5</v>
      </c>
    </row>
    <row r="1199" spans="1:5" ht="13.5" thickTop="1" x14ac:dyDescent="0.2">
      <c r="A1199" s="633"/>
      <c r="B1199" s="633"/>
      <c r="C1199" s="633"/>
      <c r="D1199" s="589"/>
      <c r="E1199" s="634"/>
    </row>
    <row r="1200" spans="1:5" ht="13.5" thickBot="1" x14ac:dyDescent="0.25">
      <c r="A1200" s="661" t="s">
        <v>495</v>
      </c>
      <c r="B1200" s="662"/>
      <c r="C1200" s="663"/>
      <c r="D1200" s="663"/>
      <c r="E1200" s="663"/>
    </row>
    <row r="1201" spans="1:5" ht="13.5" thickTop="1" x14ac:dyDescent="0.2">
      <c r="A1201" s="664" t="s">
        <v>477</v>
      </c>
      <c r="B1201" s="667">
        <v>1.05</v>
      </c>
      <c r="C1201" s="668" t="s">
        <v>10</v>
      </c>
      <c r="D1201" s="669">
        <f>+D1195</f>
        <v>6350.6866</v>
      </c>
      <c r="E1201" s="670">
        <f>ROUND(B1201*D1201,2)</f>
        <v>6668.22</v>
      </c>
    </row>
    <row r="1202" spans="1:5" x14ac:dyDescent="0.2">
      <c r="A1202" s="671" t="s">
        <v>249</v>
      </c>
      <c r="B1202" s="675">
        <v>2.67</v>
      </c>
      <c r="C1202" s="672" t="s">
        <v>122</v>
      </c>
      <c r="D1202" s="673">
        <f>+E175</f>
        <v>2358.2800000000002</v>
      </c>
      <c r="E1202" s="674">
        <f>ROUND(B1202*D1202,2)</f>
        <v>6296.61</v>
      </c>
    </row>
    <row r="1203" spans="1:5" x14ac:dyDescent="0.2">
      <c r="A1203" s="671" t="s">
        <v>281</v>
      </c>
      <c r="B1203" s="686">
        <v>3.33</v>
      </c>
      <c r="C1203" s="676" t="s">
        <v>16</v>
      </c>
      <c r="D1203" s="673">
        <v>550</v>
      </c>
      <c r="E1203" s="674">
        <f>ROUND(B1203*D1203,2)</f>
        <v>1831.5</v>
      </c>
    </row>
    <row r="1204" spans="1:5" ht="13.5" thickBot="1" x14ac:dyDescent="0.25">
      <c r="A1204" s="677"/>
      <c r="B1204" s="678"/>
      <c r="C1204" s="678"/>
      <c r="D1204" s="679" t="s">
        <v>475</v>
      </c>
      <c r="E1204" s="680">
        <f>ROUND(SUM(E1201:E1203),2)</f>
        <v>14796.33</v>
      </c>
    </row>
    <row r="1205" spans="1:5" ht="13.5" thickTop="1" x14ac:dyDescent="0.2">
      <c r="A1205" s="655"/>
      <c r="B1205" s="655"/>
      <c r="C1205" s="655"/>
      <c r="D1205" s="687"/>
      <c r="E1205" s="688"/>
    </row>
    <row r="1206" spans="1:5" ht="13.5" thickBot="1" x14ac:dyDescent="0.25">
      <c r="A1206" s="635" t="s">
        <v>496</v>
      </c>
      <c r="B1206" s="636"/>
      <c r="C1206" s="637"/>
      <c r="D1206" s="637"/>
      <c r="E1206" s="637"/>
    </row>
    <row r="1207" spans="1:5" ht="13.5" thickTop="1" x14ac:dyDescent="0.2">
      <c r="A1207" s="664" t="s">
        <v>477</v>
      </c>
      <c r="B1207" s="639">
        <v>1.05</v>
      </c>
      <c r="C1207" s="640" t="s">
        <v>10</v>
      </c>
      <c r="D1207" s="641">
        <f>+D1201</f>
        <v>6350.6866</v>
      </c>
      <c r="E1207" s="642">
        <f>ROUND(B1207*D1207,2)</f>
        <v>6668.22</v>
      </c>
    </row>
    <row r="1208" spans="1:5" x14ac:dyDescent="0.2">
      <c r="A1208" s="643" t="s">
        <v>249</v>
      </c>
      <c r="B1208" s="644">
        <v>3.57</v>
      </c>
      <c r="C1208" s="645" t="s">
        <v>122</v>
      </c>
      <c r="D1208" s="646">
        <f>+D1196</f>
        <v>2522.86</v>
      </c>
      <c r="E1208" s="647">
        <f>ROUND(B1208*D1208,2)</f>
        <v>9006.61</v>
      </c>
    </row>
    <row r="1209" spans="1:5" x14ac:dyDescent="0.2">
      <c r="A1209" s="643" t="s">
        <v>281</v>
      </c>
      <c r="B1209" s="682">
        <v>4</v>
      </c>
      <c r="C1209" s="683" t="s">
        <v>16</v>
      </c>
      <c r="D1209" s="646">
        <v>550</v>
      </c>
      <c r="E1209" s="647">
        <f>ROUND(B1209*D1209,2)</f>
        <v>2200</v>
      </c>
    </row>
    <row r="1210" spans="1:5" ht="13.5" thickBot="1" x14ac:dyDescent="0.25">
      <c r="A1210" s="648"/>
      <c r="B1210" s="649"/>
      <c r="C1210" s="649"/>
      <c r="D1210" s="684" t="s">
        <v>475</v>
      </c>
      <c r="E1210" s="685">
        <f>ROUND(SUM(E1207:E1209),2)</f>
        <v>17874.830000000002</v>
      </c>
    </row>
    <row r="1211" spans="1:5" ht="13.5" thickTop="1" x14ac:dyDescent="0.2">
      <c r="A1211" s="633"/>
      <c r="B1211" s="633"/>
      <c r="C1211" s="633"/>
      <c r="D1211" s="589"/>
      <c r="E1211" s="634"/>
    </row>
    <row r="1212" spans="1:5" ht="13.5" thickBot="1" x14ac:dyDescent="0.25">
      <c r="A1212" s="635" t="s">
        <v>497</v>
      </c>
      <c r="B1212" s="636"/>
      <c r="C1212" s="637"/>
      <c r="D1212" s="689"/>
      <c r="E1212" s="690"/>
    </row>
    <row r="1213" spans="1:5" ht="13.5" thickTop="1" x14ac:dyDescent="0.2">
      <c r="A1213" s="664" t="s">
        <v>477</v>
      </c>
      <c r="B1213" s="639">
        <v>1.05</v>
      </c>
      <c r="C1213" s="640" t="s">
        <v>10</v>
      </c>
      <c r="D1213" s="641">
        <f>E49</f>
        <v>6034.4866000000002</v>
      </c>
      <c r="E1213" s="642">
        <f>ROUND(B1213*D1213,2)</f>
        <v>6336.21</v>
      </c>
    </row>
    <row r="1214" spans="1:5" x14ac:dyDescent="0.2">
      <c r="A1214" s="643" t="s">
        <v>249</v>
      </c>
      <c r="B1214" s="691">
        <v>2.65</v>
      </c>
      <c r="C1214" s="645" t="s">
        <v>122</v>
      </c>
      <c r="D1214" s="646">
        <f>+D1208</f>
        <v>2522.86</v>
      </c>
      <c r="E1214" s="647">
        <f>ROUND(B1214*D1214,2)</f>
        <v>6685.58</v>
      </c>
    </row>
    <row r="1215" spans="1:5" x14ac:dyDescent="0.2">
      <c r="A1215" s="643" t="s">
        <v>281</v>
      </c>
      <c r="B1215" s="682">
        <v>7.27</v>
      </c>
      <c r="C1215" s="683" t="s">
        <v>16</v>
      </c>
      <c r="D1215" s="646">
        <v>250</v>
      </c>
      <c r="E1215" s="647">
        <f>ROUND(B1215*D1215,2)</f>
        <v>1817.5</v>
      </c>
    </row>
    <row r="1216" spans="1:5" ht="13.5" thickBot="1" x14ac:dyDescent="0.25">
      <c r="A1216" s="648"/>
      <c r="B1216" s="649"/>
      <c r="C1216" s="649"/>
      <c r="D1216" s="684" t="s">
        <v>475</v>
      </c>
      <c r="E1216" s="685">
        <f>ROUND(SUM(E1213:E1215),2)</f>
        <v>14839.29</v>
      </c>
    </row>
    <row r="1217" spans="1:5" ht="13.5" thickTop="1" x14ac:dyDescent="0.2">
      <c r="A1217" s="633"/>
      <c r="B1217" s="633"/>
      <c r="C1217" s="633"/>
      <c r="D1217" s="589"/>
      <c r="E1217" s="634"/>
    </row>
    <row r="1218" spans="1:5" ht="13.5" thickBot="1" x14ac:dyDescent="0.25">
      <c r="A1218" s="661" t="s">
        <v>498</v>
      </c>
      <c r="B1218" s="662"/>
      <c r="C1218" s="663"/>
      <c r="D1218" s="665"/>
      <c r="E1218" s="666"/>
    </row>
    <row r="1219" spans="1:5" ht="13.5" thickTop="1" x14ac:dyDescent="0.2">
      <c r="A1219" s="664" t="s">
        <v>499</v>
      </c>
      <c r="B1219" s="667">
        <v>1.05</v>
      </c>
      <c r="C1219" s="668" t="s">
        <v>10</v>
      </c>
      <c r="D1219" s="669">
        <f>+E49</f>
        <v>6034.4866000000002</v>
      </c>
      <c r="E1219" s="670">
        <f>ROUND(B1219*D1219,2)</f>
        <v>6336.21</v>
      </c>
    </row>
    <row r="1220" spans="1:5" x14ac:dyDescent="0.2">
      <c r="A1220" s="671" t="s">
        <v>249</v>
      </c>
      <c r="B1220" s="681">
        <v>2.65</v>
      </c>
      <c r="C1220" s="672" t="s">
        <v>122</v>
      </c>
      <c r="D1220" s="673">
        <f>+D1214</f>
        <v>2522.86</v>
      </c>
      <c r="E1220" s="674">
        <f>ROUND(B1220*D1220,2)</f>
        <v>6685.58</v>
      </c>
    </row>
    <row r="1221" spans="1:5" x14ac:dyDescent="0.2">
      <c r="A1221" s="671" t="s">
        <v>281</v>
      </c>
      <c r="B1221" s="686">
        <v>22.22</v>
      </c>
      <c r="C1221" s="676" t="s">
        <v>16</v>
      </c>
      <c r="D1221" s="673">
        <v>250</v>
      </c>
      <c r="E1221" s="674">
        <f>ROUND(B1221*D1221,2)</f>
        <v>5555</v>
      </c>
    </row>
    <row r="1222" spans="1:5" ht="13.5" thickBot="1" x14ac:dyDescent="0.25">
      <c r="A1222" s="677"/>
      <c r="B1222" s="678"/>
      <c r="C1222" s="678"/>
      <c r="D1222" s="679" t="s">
        <v>475</v>
      </c>
      <c r="E1222" s="680">
        <f>ROUND(SUM(E1219:E1221),2)</f>
        <v>18576.79</v>
      </c>
    </row>
    <row r="1223" spans="1:5" ht="13.5" thickTop="1" x14ac:dyDescent="0.2">
      <c r="A1223" s="658"/>
      <c r="B1223" s="658"/>
      <c r="C1223" s="658"/>
      <c r="D1223" s="659"/>
      <c r="E1223" s="660"/>
    </row>
    <row r="1224" spans="1:5" ht="13.5" thickBot="1" x14ac:dyDescent="0.25">
      <c r="A1224" s="661" t="s">
        <v>500</v>
      </c>
      <c r="B1224" s="662"/>
      <c r="C1224" s="663"/>
      <c r="D1224" s="665"/>
      <c r="E1224" s="666"/>
    </row>
    <row r="1225" spans="1:5" ht="13.5" thickTop="1" x14ac:dyDescent="0.2">
      <c r="A1225" s="664" t="s">
        <v>499</v>
      </c>
      <c r="B1225" s="667">
        <v>1.05</v>
      </c>
      <c r="C1225" s="668" t="s">
        <v>10</v>
      </c>
      <c r="D1225" s="669">
        <f>+E49</f>
        <v>6034.4866000000002</v>
      </c>
      <c r="E1225" s="670">
        <f>ROUND(B1225*D1225,2)</f>
        <v>6336.21</v>
      </c>
    </row>
    <row r="1226" spans="1:5" x14ac:dyDescent="0.2">
      <c r="A1226" s="671" t="s">
        <v>249</v>
      </c>
      <c r="B1226" s="675">
        <v>2.78</v>
      </c>
      <c r="C1226" s="672" t="s">
        <v>122</v>
      </c>
      <c r="D1226" s="673">
        <f>+D1220</f>
        <v>2522.86</v>
      </c>
      <c r="E1226" s="674">
        <f>ROUND(B1226*D1226,2)</f>
        <v>7013.55</v>
      </c>
    </row>
    <row r="1227" spans="1:5" x14ac:dyDescent="0.2">
      <c r="A1227" s="671" t="s">
        <v>281</v>
      </c>
      <c r="B1227" s="686">
        <v>22.22</v>
      </c>
      <c r="C1227" s="676" t="s">
        <v>16</v>
      </c>
      <c r="D1227" s="673">
        <v>250</v>
      </c>
      <c r="E1227" s="674">
        <f>ROUND(B1227*D1227,2)</f>
        <v>5555</v>
      </c>
    </row>
    <row r="1228" spans="1:5" ht="13.5" thickBot="1" x14ac:dyDescent="0.25">
      <c r="A1228" s="677"/>
      <c r="B1228" s="678"/>
      <c r="C1228" s="678"/>
      <c r="D1228" s="679" t="s">
        <v>475</v>
      </c>
      <c r="E1228" s="680">
        <f>ROUND(SUM(E1225:E1227),2)</f>
        <v>18904.759999999998</v>
      </c>
    </row>
    <row r="1229" spans="1:5" ht="13.5" thickTop="1" x14ac:dyDescent="0.2">
      <c r="A1229" s="633"/>
      <c r="B1229" s="633"/>
      <c r="C1229" s="633"/>
      <c r="D1229" s="589"/>
      <c r="E1229" s="634"/>
    </row>
    <row r="1230" spans="1:5" x14ac:dyDescent="0.2">
      <c r="A1230" s="692"/>
      <c r="B1230" s="692"/>
      <c r="C1230" s="692"/>
      <c r="D1230" s="692"/>
      <c r="E1230" s="692"/>
    </row>
    <row r="1231" spans="1:5" ht="13.5" thickBot="1" x14ac:dyDescent="0.25">
      <c r="A1231" s="693" t="s">
        <v>501</v>
      </c>
      <c r="B1231" s="694"/>
      <c r="C1231" s="694"/>
      <c r="D1231" s="694"/>
      <c r="E1231" s="694"/>
    </row>
    <row r="1232" spans="1:5" ht="13.5" thickTop="1" x14ac:dyDescent="0.2">
      <c r="A1232" s="695" t="s">
        <v>487</v>
      </c>
      <c r="B1232" s="696">
        <v>1.05</v>
      </c>
      <c r="C1232" s="697" t="s">
        <v>10</v>
      </c>
      <c r="D1232" s="698">
        <f>+E58</f>
        <v>5402.0865999999996</v>
      </c>
      <c r="E1232" s="699">
        <f>ROUND(B1232*D1232,2)</f>
        <v>5672.19</v>
      </c>
    </row>
    <row r="1233" spans="1:5" x14ac:dyDescent="0.2">
      <c r="A1233" s="700" t="s">
        <v>249</v>
      </c>
      <c r="B1233" s="701">
        <v>1.76</v>
      </c>
      <c r="C1233" s="702" t="s">
        <v>122</v>
      </c>
      <c r="D1233" s="703">
        <f>+E181</f>
        <v>2522.86</v>
      </c>
      <c r="E1233" s="704">
        <f>ROUND(B1233*D1233,2)</f>
        <v>4440.2299999999996</v>
      </c>
    </row>
    <row r="1234" spans="1:5" x14ac:dyDescent="0.2">
      <c r="A1234" s="705" t="s">
        <v>502</v>
      </c>
      <c r="B1234" s="706">
        <v>8.33</v>
      </c>
      <c r="C1234" s="707" t="s">
        <v>16</v>
      </c>
      <c r="D1234" s="708">
        <v>185</v>
      </c>
      <c r="E1234" s="704">
        <f>ROUND(B1234*D1234,2)</f>
        <v>1541.05</v>
      </c>
    </row>
    <row r="1235" spans="1:5" ht="13.5" thickBot="1" x14ac:dyDescent="0.25">
      <c r="A1235" s="709"/>
      <c r="B1235" s="710"/>
      <c r="C1235" s="710"/>
      <c r="D1235" s="711" t="s">
        <v>475</v>
      </c>
      <c r="E1235" s="712">
        <f>ROUND(SUM(E1232:E1234),2)</f>
        <v>11653.47</v>
      </c>
    </row>
    <row r="1236" spans="1:5" ht="13.5" thickTop="1" x14ac:dyDescent="0.2">
      <c r="A1236" s="713" t="s">
        <v>503</v>
      </c>
      <c r="B1236" s="714">
        <v>0.77</v>
      </c>
      <c r="C1236" s="715" t="s">
        <v>10</v>
      </c>
      <c r="D1236" s="716">
        <f>E1235</f>
        <v>11653.47</v>
      </c>
      <c r="E1236" s="699">
        <f>ROUND(B1236*D1236,2)</f>
        <v>8973.17</v>
      </c>
    </row>
    <row r="1237" spans="1:5" x14ac:dyDescent="0.2">
      <c r="A1237" s="717" t="s">
        <v>504</v>
      </c>
      <c r="B1237" s="718">
        <v>6.4</v>
      </c>
      <c r="C1237" s="719" t="s">
        <v>16</v>
      </c>
      <c r="D1237" s="720">
        <v>66.48</v>
      </c>
      <c r="E1237" s="704">
        <f>ROUND(B1237*D1237,2)</f>
        <v>425.47</v>
      </c>
    </row>
    <row r="1238" spans="1:5" x14ac:dyDescent="0.2">
      <c r="A1238" s="717" t="s">
        <v>27</v>
      </c>
      <c r="B1238" s="718">
        <v>8</v>
      </c>
      <c r="C1238" s="719" t="s">
        <v>8</v>
      </c>
      <c r="D1238" s="721">
        <f>E970</f>
        <v>31.32</v>
      </c>
      <c r="E1238" s="704">
        <f>ROUND(B1238*D1238,2)</f>
        <v>250.56</v>
      </c>
    </row>
    <row r="1239" spans="1:5" ht="13.5" thickBot="1" x14ac:dyDescent="0.25">
      <c r="A1239" s="709"/>
      <c r="B1239" s="710"/>
      <c r="C1239" s="710"/>
      <c r="D1239" s="711" t="s">
        <v>505</v>
      </c>
      <c r="E1239" s="712">
        <f>ROUND(SUM(E1236:E1238),2)</f>
        <v>9649.2000000000007</v>
      </c>
    </row>
    <row r="1240" spans="1:5" ht="13.5" thickTop="1" x14ac:dyDescent="0.2">
      <c r="A1240" s="694"/>
      <c r="B1240" s="694"/>
      <c r="C1240" s="694"/>
      <c r="D1240" s="694"/>
      <c r="E1240" s="694"/>
    </row>
    <row r="1241" spans="1:5" x14ac:dyDescent="0.2">
      <c r="A1241" s="1584" t="s">
        <v>506</v>
      </c>
      <c r="B1241" s="1584"/>
      <c r="C1241" s="1584"/>
      <c r="D1241" s="1584"/>
      <c r="E1241" s="1584"/>
    </row>
    <row r="1242" spans="1:5" ht="15" x14ac:dyDescent="0.25">
      <c r="A1242" s="723"/>
      <c r="B1242" s="723"/>
      <c r="C1242" s="723"/>
      <c r="D1242" s="723"/>
      <c r="E1242" s="723"/>
    </row>
    <row r="1243" spans="1:5" ht="13.5" thickBot="1" x14ac:dyDescent="0.25">
      <c r="A1243" s="724" t="s">
        <v>507</v>
      </c>
      <c r="B1243" s="725"/>
      <c r="C1243" s="725"/>
      <c r="D1243" s="725"/>
      <c r="E1243" s="725"/>
    </row>
    <row r="1244" spans="1:5" ht="13.5" thickTop="1" x14ac:dyDescent="0.2">
      <c r="A1244" s="726" t="s">
        <v>508</v>
      </c>
      <c r="B1244" s="727">
        <v>1.05</v>
      </c>
      <c r="C1244" s="728" t="s">
        <v>10</v>
      </c>
      <c r="D1244" s="729">
        <f>+E58</f>
        <v>5402.0865999999996</v>
      </c>
      <c r="E1244" s="699">
        <f>ROUND(B1244*D1244,2)</f>
        <v>5672.19</v>
      </c>
    </row>
    <row r="1245" spans="1:5" x14ac:dyDescent="0.2">
      <c r="A1245" s="730" t="s">
        <v>249</v>
      </c>
      <c r="B1245" s="731">
        <v>2.65</v>
      </c>
      <c r="C1245" s="732" t="s">
        <v>122</v>
      </c>
      <c r="D1245" s="733">
        <f>+E181</f>
        <v>2522.86</v>
      </c>
      <c r="E1245" s="704">
        <f>ROUND(B1245*D1245,2)</f>
        <v>6685.58</v>
      </c>
    </row>
    <row r="1246" spans="1:5" x14ac:dyDescent="0.2">
      <c r="A1246" s="730" t="s">
        <v>509</v>
      </c>
      <c r="B1246" s="731">
        <v>16.670000000000002</v>
      </c>
      <c r="C1246" s="732" t="s">
        <v>8</v>
      </c>
      <c r="D1246" s="733">
        <v>71.55</v>
      </c>
      <c r="E1246" s="704">
        <f>ROUND(B1246*D1246,2)</f>
        <v>1192.74</v>
      </c>
    </row>
    <row r="1247" spans="1:5" x14ac:dyDescent="0.2">
      <c r="A1247" s="730" t="s">
        <v>281</v>
      </c>
      <c r="B1247" s="731">
        <v>16.670000000000002</v>
      </c>
      <c r="C1247" s="734" t="s">
        <v>8</v>
      </c>
      <c r="D1247" s="733">
        <v>250</v>
      </c>
      <c r="E1247" s="704">
        <f>ROUND(B1247*D1247,2)</f>
        <v>4167.5</v>
      </c>
    </row>
    <row r="1248" spans="1:5" ht="13.5" thickBot="1" x14ac:dyDescent="0.25">
      <c r="A1248" s="735"/>
      <c r="B1248" s="736"/>
      <c r="C1248" s="736"/>
      <c r="D1248" s="737"/>
      <c r="E1248" s="712">
        <f>ROUND(SUM(E1244:E1247),2)</f>
        <v>17718.009999999998</v>
      </c>
    </row>
    <row r="1249" spans="1:5" ht="15.75" thickTop="1" x14ac:dyDescent="0.25">
      <c r="A1249" s="723"/>
      <c r="B1249" s="723"/>
      <c r="C1249" s="723"/>
      <c r="D1249" s="723"/>
      <c r="E1249" s="723"/>
    </row>
    <row r="1250" spans="1:5" ht="15" x14ac:dyDescent="0.25">
      <c r="A1250" s="723"/>
      <c r="B1250" s="723"/>
      <c r="C1250" s="723"/>
      <c r="D1250" s="723"/>
      <c r="E1250" s="723"/>
    </row>
    <row r="1251" spans="1:5" ht="13.5" thickBot="1" x14ac:dyDescent="0.25">
      <c r="A1251" t="s">
        <v>510</v>
      </c>
    </row>
    <row r="1252" spans="1:5" ht="13.5" thickTop="1" x14ac:dyDescent="0.2">
      <c r="A1252" t="s">
        <v>508</v>
      </c>
      <c r="B1252">
        <v>1.05</v>
      </c>
      <c r="C1252" t="s">
        <v>10</v>
      </c>
      <c r="D1252">
        <f>+E58</f>
        <v>5402.0865999999996</v>
      </c>
      <c r="E1252" s="642">
        <f>ROUND(B1252*D1252,2)</f>
        <v>5672.19</v>
      </c>
    </row>
    <row r="1253" spans="1:5" x14ac:dyDescent="0.2">
      <c r="A1253" t="s">
        <v>249</v>
      </c>
      <c r="B1253">
        <v>0.84</v>
      </c>
      <c r="C1253" t="s">
        <v>122</v>
      </c>
      <c r="D1253">
        <f>+E181</f>
        <v>2522.86</v>
      </c>
      <c r="E1253" s="647">
        <f>ROUND(B1253*D1253,2)</f>
        <v>2119.1999999999998</v>
      </c>
    </row>
    <row r="1254" spans="1:5" x14ac:dyDescent="0.2">
      <c r="A1254" t="s">
        <v>281</v>
      </c>
      <c r="B1254">
        <v>8.33</v>
      </c>
      <c r="C1254" t="s">
        <v>16</v>
      </c>
      <c r="D1254">
        <v>185</v>
      </c>
      <c r="E1254" s="647">
        <f>ROUND(B1254*D1254,2)</f>
        <v>1541.05</v>
      </c>
    </row>
    <row r="1255" spans="1:5" ht="13.5" thickBot="1" x14ac:dyDescent="0.25">
      <c r="D1255" t="s">
        <v>140</v>
      </c>
      <c r="E1255" s="685">
        <f>ROUND(SUM(E1252:E1254),2)</f>
        <v>9332.44</v>
      </c>
    </row>
    <row r="1256" spans="1:5" ht="13.5" thickTop="1" x14ac:dyDescent="0.2">
      <c r="A1256" s="322"/>
      <c r="B1256" s="323"/>
      <c r="C1256" s="322"/>
      <c r="D1256" s="323"/>
      <c r="E1256" s="323"/>
    </row>
    <row r="1257" spans="1:5" ht="13.5" thickBot="1" x14ac:dyDescent="0.25">
      <c r="A1257" s="635" t="s">
        <v>488</v>
      </c>
      <c r="B1257" s="636"/>
      <c r="C1257" s="637"/>
      <c r="D1257" s="689"/>
      <c r="E1257" s="690"/>
    </row>
    <row r="1258" spans="1:5" ht="13.5" thickTop="1" x14ac:dyDescent="0.2">
      <c r="A1258" s="726" t="s">
        <v>508</v>
      </c>
      <c r="B1258" s="639">
        <v>1.05</v>
      </c>
      <c r="C1258" s="640" t="s">
        <v>10</v>
      </c>
      <c r="D1258" s="641">
        <f>+D1252</f>
        <v>5402.0865999999996</v>
      </c>
      <c r="E1258" s="642">
        <f>ROUND(B1258*D1258,2)</f>
        <v>5672.19</v>
      </c>
    </row>
    <row r="1259" spans="1:5" x14ac:dyDescent="0.2">
      <c r="A1259" s="643" t="s">
        <v>249</v>
      </c>
      <c r="B1259" s="653">
        <v>0.1</v>
      </c>
      <c r="C1259" s="645" t="s">
        <v>122</v>
      </c>
      <c r="D1259" s="646">
        <f>+E181</f>
        <v>2522.86</v>
      </c>
      <c r="E1259" s="647">
        <f>ROUND(B1259*D1259,2)</f>
        <v>252.29</v>
      </c>
    </row>
    <row r="1260" spans="1:5" x14ac:dyDescent="0.2">
      <c r="A1260" s="643" t="s">
        <v>281</v>
      </c>
      <c r="B1260" s="682">
        <v>33.299999999999997</v>
      </c>
      <c r="C1260" s="683" t="s">
        <v>16</v>
      </c>
      <c r="D1260" s="646">
        <v>250</v>
      </c>
      <c r="E1260" s="647">
        <f>ROUND(B1260*D1260,2)</f>
        <v>8325</v>
      </c>
    </row>
    <row r="1261" spans="1:5" ht="13.5" thickBot="1" x14ac:dyDescent="0.25">
      <c r="A1261" s="648"/>
      <c r="B1261" s="649"/>
      <c r="C1261" s="649"/>
      <c r="D1261" s="684" t="s">
        <v>475</v>
      </c>
      <c r="E1261" s="685">
        <f>ROUND(SUM(E1258:E1260),2)</f>
        <v>14249.48</v>
      </c>
    </row>
    <row r="1262" spans="1:5" ht="13.5" thickTop="1" x14ac:dyDescent="0.2">
      <c r="A1262" s="738"/>
      <c r="B1262" s="739"/>
      <c r="C1262" s="738"/>
      <c r="D1262" s="739"/>
      <c r="E1262" s="739"/>
    </row>
    <row r="1263" spans="1:5" x14ac:dyDescent="0.2">
      <c r="A1263" s="322"/>
      <c r="B1263" s="323"/>
      <c r="C1263" s="322"/>
      <c r="D1263" s="323"/>
      <c r="E1263" s="323"/>
    </row>
    <row r="1264" spans="1:5" x14ac:dyDescent="0.2">
      <c r="A1264" s="322"/>
      <c r="B1264" s="323"/>
      <c r="C1264" s="322"/>
      <c r="D1264" s="323"/>
      <c r="E1264" s="323"/>
    </row>
    <row r="1265" spans="1:5" x14ac:dyDescent="0.2">
      <c r="A1265" t="s">
        <v>511</v>
      </c>
    </row>
    <row r="1266" spans="1:5" x14ac:dyDescent="0.2">
      <c r="A1266" t="s">
        <v>487</v>
      </c>
      <c r="B1266">
        <v>1.05</v>
      </c>
      <c r="C1266" t="s">
        <v>10</v>
      </c>
      <c r="D1266">
        <f>+E58</f>
        <v>5402.0865999999996</v>
      </c>
      <c r="E1266">
        <f>ROUND(B1266*D1266,2)</f>
        <v>5672.19</v>
      </c>
    </row>
    <row r="1267" spans="1:5" x14ac:dyDescent="0.2">
      <c r="A1267" t="s">
        <v>249</v>
      </c>
      <c r="B1267">
        <v>1.5</v>
      </c>
      <c r="C1267" t="s">
        <v>122</v>
      </c>
      <c r="D1267">
        <f>+E181</f>
        <v>2522.86</v>
      </c>
      <c r="E1267">
        <f>ROUND(B1267*D1267,2)</f>
        <v>3784.29</v>
      </c>
    </row>
    <row r="1268" spans="1:5" x14ac:dyDescent="0.2">
      <c r="E1268">
        <f>ROUND(SUM(E1266:E1267),2)</f>
        <v>9456.48</v>
      </c>
    </row>
    <row r="1270" spans="1:5" x14ac:dyDescent="0.2">
      <c r="A1270" t="s">
        <v>512</v>
      </c>
    </row>
    <row r="1271" spans="1:5" x14ac:dyDescent="0.2">
      <c r="A1271" t="s">
        <v>487</v>
      </c>
      <c r="B1271">
        <v>1.05</v>
      </c>
      <c r="C1271" t="s">
        <v>10</v>
      </c>
      <c r="D1271">
        <f>+D1266</f>
        <v>5402.0865999999996</v>
      </c>
      <c r="E1271">
        <f>ROUND(B1271*D1271,2)</f>
        <v>5672.19</v>
      </c>
    </row>
    <row r="1272" spans="1:5" ht="13.5" customHeight="1" x14ac:dyDescent="0.2">
      <c r="A1272" t="s">
        <v>249</v>
      </c>
      <c r="B1272">
        <v>1.5</v>
      </c>
      <c r="C1272" t="s">
        <v>122</v>
      </c>
      <c r="D1272">
        <f>+D1267</f>
        <v>2522.86</v>
      </c>
      <c r="E1272">
        <f>ROUND(B1272*D1272,2)</f>
        <v>3784.29</v>
      </c>
    </row>
    <row r="1273" spans="1:5" ht="13.5" customHeight="1" x14ac:dyDescent="0.2">
      <c r="E1273">
        <f>ROUND(SUM(E1271:E1272),2)</f>
        <v>9456.48</v>
      </c>
    </row>
    <row r="1275" spans="1:5" ht="13.5" thickBot="1" x14ac:dyDescent="0.25">
      <c r="A1275" s="740" t="s">
        <v>513</v>
      </c>
      <c r="B1275" s="741"/>
      <c r="C1275" s="742"/>
      <c r="D1275" s="743"/>
      <c r="E1275" s="744"/>
    </row>
    <row r="1276" spans="1:5" ht="13.5" thickTop="1" x14ac:dyDescent="0.2">
      <c r="A1276" s="745" t="s">
        <v>514</v>
      </c>
      <c r="B1276" s="746">
        <v>1.05</v>
      </c>
      <c r="C1276" s="747" t="s">
        <v>10</v>
      </c>
      <c r="D1276" s="748">
        <f>+D1266</f>
        <v>5402.0865999999996</v>
      </c>
      <c r="E1276" s="749">
        <f>B1276*D1276</f>
        <v>5672.1909299999998</v>
      </c>
    </row>
    <row r="1277" spans="1:5" x14ac:dyDescent="0.2">
      <c r="A1277" s="750" t="s">
        <v>249</v>
      </c>
      <c r="B1277" s="751">
        <v>4.28</v>
      </c>
      <c r="C1277" s="752" t="s">
        <v>122</v>
      </c>
      <c r="D1277" s="753">
        <f>+D1267</f>
        <v>2522.86</v>
      </c>
      <c r="E1277" s="754">
        <f>B1277*D1277</f>
        <v>10797.840800000002</v>
      </c>
    </row>
    <row r="1278" spans="1:5" x14ac:dyDescent="0.2">
      <c r="A1278" s="750" t="s">
        <v>281</v>
      </c>
      <c r="B1278">
        <v>16</v>
      </c>
      <c r="C1278" s="755" t="s">
        <v>16</v>
      </c>
      <c r="D1278" s="753">
        <v>325</v>
      </c>
      <c r="E1278" s="754">
        <f>B1278*D1278</f>
        <v>5200</v>
      </c>
    </row>
    <row r="1279" spans="1:5" ht="13.5" thickBot="1" x14ac:dyDescent="0.25">
      <c r="A1279" s="756"/>
      <c r="B1279" s="757"/>
      <c r="C1279" s="757"/>
      <c r="D1279" s="758" t="s">
        <v>140</v>
      </c>
      <c r="E1279" s="759">
        <f>ROUND(SUM(E1276:E1278),2)</f>
        <v>21670.03</v>
      </c>
    </row>
    <row r="1280" spans="1:5" ht="13.5" thickTop="1" x14ac:dyDescent="0.2"/>
    <row r="1282" spans="1:5" ht="13.5" thickBot="1" x14ac:dyDescent="0.25">
      <c r="A1282" s="760" t="s">
        <v>515</v>
      </c>
      <c r="B1282" s="761"/>
      <c r="C1282" s="761"/>
      <c r="D1282" s="761"/>
      <c r="E1282" s="761"/>
    </row>
    <row r="1283" spans="1:5" ht="13.5" thickTop="1" x14ac:dyDescent="0.2">
      <c r="A1283" s="726" t="s">
        <v>508</v>
      </c>
      <c r="B1283" s="762">
        <v>1.05</v>
      </c>
      <c r="C1283" s="763" t="s">
        <v>10</v>
      </c>
      <c r="D1283" s="764">
        <f>+E58</f>
        <v>5402.0865999999996</v>
      </c>
      <c r="E1283" s="765">
        <f>ROUND(B1283*D1283,2)</f>
        <v>5672.19</v>
      </c>
    </row>
    <row r="1284" spans="1:5" x14ac:dyDescent="0.2">
      <c r="A1284" s="766" t="s">
        <v>249</v>
      </c>
      <c r="B1284" s="767">
        <v>1.56</v>
      </c>
      <c r="C1284" s="768" t="s">
        <v>122</v>
      </c>
      <c r="D1284" s="769">
        <f>+E175</f>
        <v>2358.2800000000002</v>
      </c>
      <c r="E1284" s="770">
        <f>ROUND(B1284*D1284,2)</f>
        <v>3678.92</v>
      </c>
    </row>
    <row r="1285" spans="1:5" x14ac:dyDescent="0.2">
      <c r="A1285" s="766" t="s">
        <v>509</v>
      </c>
      <c r="B1285" s="767">
        <v>22.2</v>
      </c>
      <c r="C1285" s="768" t="s">
        <v>8</v>
      </c>
      <c r="D1285" s="769">
        <v>86</v>
      </c>
      <c r="E1285" s="770">
        <f>ROUND(B1285*D1285,2)</f>
        <v>1909.2</v>
      </c>
    </row>
    <row r="1286" spans="1:5" x14ac:dyDescent="0.2">
      <c r="A1286" s="766" t="s">
        <v>281</v>
      </c>
      <c r="B1286" s="767">
        <v>22.2</v>
      </c>
      <c r="C1286" s="771" t="s">
        <v>8</v>
      </c>
      <c r="D1286" s="769">
        <v>250</v>
      </c>
      <c r="E1286" s="770">
        <f>ROUND(B1286*D1286,2)</f>
        <v>5550</v>
      </c>
    </row>
    <row r="1287" spans="1:5" ht="13.5" thickBot="1" x14ac:dyDescent="0.25">
      <c r="A1287" s="772"/>
      <c r="B1287" s="773"/>
      <c r="C1287" s="773"/>
      <c r="D1287" s="774"/>
      <c r="E1287">
        <f>ROUND(SUM(E1283:E1286),2)</f>
        <v>16810.310000000001</v>
      </c>
    </row>
    <row r="1288" spans="1:5" ht="13.5" thickTop="1" x14ac:dyDescent="0.2">
      <c r="A1288" s="775"/>
      <c r="B1288" s="776"/>
      <c r="C1288" s="777"/>
      <c r="D1288" s="778"/>
      <c r="E1288" s="779"/>
    </row>
    <row r="1289" spans="1:5" x14ac:dyDescent="0.2">
      <c r="A1289" s="775"/>
      <c r="B1289" s="776"/>
      <c r="C1289" s="777"/>
      <c r="D1289" s="778"/>
      <c r="E1289" s="779"/>
    </row>
    <row r="1290" spans="1:5" x14ac:dyDescent="0.2">
      <c r="A1290" s="780"/>
      <c r="B1290" s="781"/>
      <c r="C1290" s="780"/>
      <c r="D1290" s="781"/>
      <c r="E1290" s="781"/>
    </row>
    <row r="1291" spans="1:5" ht="13.5" thickBot="1" x14ac:dyDescent="0.25">
      <c r="A1291" s="782" t="s">
        <v>516</v>
      </c>
      <c r="B1291" s="783"/>
      <c r="C1291" s="783"/>
      <c r="D1291" s="784" t="s">
        <v>517</v>
      </c>
      <c r="E1291" s="783"/>
    </row>
    <row r="1292" spans="1:5" ht="13.5" thickTop="1" x14ac:dyDescent="0.2">
      <c r="A1292" s="785" t="s">
        <v>518</v>
      </c>
      <c r="B1292" s="786">
        <v>32</v>
      </c>
      <c r="C1292" s="787" t="s">
        <v>151</v>
      </c>
      <c r="D1292" s="788">
        <f>659*2</f>
        <v>1318</v>
      </c>
      <c r="E1292" s="789">
        <f>B1292*D1292</f>
        <v>42176</v>
      </c>
    </row>
    <row r="1293" spans="1:5" ht="13.5" thickBot="1" x14ac:dyDescent="0.25">
      <c r="A1293" s="790" t="s">
        <v>519</v>
      </c>
      <c r="B1293" s="791">
        <v>1</v>
      </c>
      <c r="C1293" s="792" t="s">
        <v>14</v>
      </c>
      <c r="D1293" s="793">
        <v>2000</v>
      </c>
      <c r="E1293" s="794">
        <f>+B1293*D1293</f>
        <v>2000</v>
      </c>
    </row>
    <row r="1294" spans="1:5" ht="13.5" thickTop="1" x14ac:dyDescent="0.2">
      <c r="A1294" s="795"/>
      <c r="B1294" s="796"/>
      <c r="E1294">
        <f>SUM(E1292:E1293)</f>
        <v>44176</v>
      </c>
    </row>
    <row r="1295" spans="1:5" x14ac:dyDescent="0.2">
      <c r="B1295" s="783"/>
      <c r="C1295" s="783"/>
      <c r="D1295" t="s">
        <v>520</v>
      </c>
      <c r="E1295" s="784">
        <f>ROUND(E1294/1856.3,2)</f>
        <v>23.8</v>
      </c>
    </row>
    <row r="1296" spans="1:5" ht="15.75" x14ac:dyDescent="0.25">
      <c r="A1296" s="797" t="s">
        <v>521</v>
      </c>
      <c r="B1296" s="798"/>
      <c r="C1296" s="798" t="s">
        <v>522</v>
      </c>
      <c r="D1296" s="798"/>
      <c r="E1296" s="798"/>
    </row>
    <row r="1297" spans="1:5" x14ac:dyDescent="0.2">
      <c r="A1297" s="799" t="s">
        <v>523</v>
      </c>
      <c r="B1297" s="800">
        <v>1</v>
      </c>
      <c r="C1297" s="801" t="s">
        <v>524</v>
      </c>
      <c r="D1297" s="800">
        <v>2000</v>
      </c>
      <c r="E1297" s="453">
        <f t="shared" ref="E1297:E1303" si="24">+D1297*B1297</f>
        <v>2000</v>
      </c>
    </row>
    <row r="1298" spans="1:5" x14ac:dyDescent="0.2">
      <c r="A1298" s="799" t="s">
        <v>525</v>
      </c>
      <c r="B1298" s="800">
        <v>1</v>
      </c>
      <c r="C1298" s="801" t="s">
        <v>524</v>
      </c>
      <c r="D1298" s="800">
        <v>1100</v>
      </c>
      <c r="E1298" s="453">
        <f t="shared" si="24"/>
        <v>1100</v>
      </c>
    </row>
    <row r="1299" spans="1:5" x14ac:dyDescent="0.2">
      <c r="A1299" s="799" t="s">
        <v>526</v>
      </c>
      <c r="B1299" s="800">
        <v>1</v>
      </c>
      <c r="C1299" s="801" t="s">
        <v>151</v>
      </c>
      <c r="D1299" s="800">
        <v>847</v>
      </c>
      <c r="E1299" s="453">
        <f t="shared" si="24"/>
        <v>847</v>
      </c>
    </row>
    <row r="1300" spans="1:5" x14ac:dyDescent="0.2">
      <c r="A1300" s="799" t="s">
        <v>527</v>
      </c>
      <c r="B1300" s="800">
        <v>3</v>
      </c>
      <c r="C1300" s="801" t="s">
        <v>23</v>
      </c>
      <c r="D1300" s="800">
        <v>198.7</v>
      </c>
      <c r="E1300" s="453">
        <f t="shared" si="24"/>
        <v>596.09999999999991</v>
      </c>
    </row>
    <row r="1301" spans="1:5" x14ac:dyDescent="0.2">
      <c r="A1301" s="799" t="s">
        <v>528</v>
      </c>
      <c r="B1301" s="800">
        <v>1</v>
      </c>
      <c r="C1301" s="801" t="s">
        <v>24</v>
      </c>
      <c r="D1301" s="800">
        <v>99</v>
      </c>
      <c r="E1301" s="453">
        <f t="shared" si="24"/>
        <v>99</v>
      </c>
    </row>
    <row r="1302" spans="1:5" x14ac:dyDescent="0.2">
      <c r="A1302" s="799" t="s">
        <v>529</v>
      </c>
      <c r="B1302" s="800">
        <v>15</v>
      </c>
      <c r="C1302" s="801" t="s">
        <v>23</v>
      </c>
      <c r="D1302" s="800">
        <v>2.5</v>
      </c>
      <c r="E1302" s="453">
        <f>+D1302*B1302</f>
        <v>37.5</v>
      </c>
    </row>
    <row r="1303" spans="1:5" x14ac:dyDescent="0.2">
      <c r="A1303" s="799" t="s">
        <v>30</v>
      </c>
      <c r="B1303" s="800">
        <v>1</v>
      </c>
      <c r="C1303" s="801" t="s">
        <v>530</v>
      </c>
      <c r="D1303" s="800">
        <v>350</v>
      </c>
      <c r="E1303" s="453">
        <f t="shared" si="24"/>
        <v>350</v>
      </c>
    </row>
    <row r="1304" spans="1:5" x14ac:dyDescent="0.2">
      <c r="A1304" s="799"/>
      <c r="B1304" s="800"/>
      <c r="C1304" s="801"/>
      <c r="D1304" s="802"/>
      <c r="E1304" s="803">
        <f>SUM(E1297:E1303)</f>
        <v>5029.6000000000004</v>
      </c>
    </row>
    <row r="1305" spans="1:5" x14ac:dyDescent="0.2">
      <c r="A1305" s="799" t="s">
        <v>531</v>
      </c>
      <c r="B1305" s="800">
        <v>500</v>
      </c>
      <c r="C1305" s="801" t="s">
        <v>532</v>
      </c>
      <c r="D1305" s="802"/>
      <c r="E1305" s="453"/>
    </row>
    <row r="1306" spans="1:5" x14ac:dyDescent="0.2">
      <c r="A1306" s="799"/>
      <c r="B1306" s="800"/>
      <c r="C1306" s="801"/>
      <c r="D1306" s="802"/>
      <c r="E1306" s="453"/>
    </row>
    <row r="1307" spans="1:5" x14ac:dyDescent="0.2">
      <c r="A1307" s="799" t="s">
        <v>533</v>
      </c>
      <c r="B1307" s="800"/>
      <c r="C1307" s="801"/>
      <c r="D1307" s="802"/>
      <c r="E1307" s="803">
        <f>+E1304/B1305</f>
        <v>10.059200000000001</v>
      </c>
    </row>
    <row r="1308" spans="1:5" x14ac:dyDescent="0.2">
      <c r="A1308" s="799"/>
      <c r="B1308" s="800"/>
      <c r="C1308" s="801"/>
      <c r="D1308" s="802"/>
      <c r="E1308" s="453"/>
    </row>
    <row r="1309" spans="1:5" x14ac:dyDescent="0.2">
      <c r="A1309" s="799" t="s">
        <v>324</v>
      </c>
      <c r="B1309" s="800"/>
      <c r="C1309" s="801"/>
      <c r="D1309" s="802"/>
      <c r="E1309" s="453"/>
    </row>
    <row r="1310" spans="1:5" x14ac:dyDescent="0.2">
      <c r="A1310" s="799" t="s">
        <v>534</v>
      </c>
      <c r="B1310" s="800">
        <v>21363</v>
      </c>
      <c r="C1310" s="804">
        <v>947</v>
      </c>
      <c r="D1310" s="802"/>
      <c r="E1310" s="803">
        <f>+B1310/C1310</f>
        <v>22.558606124604012</v>
      </c>
    </row>
    <row r="1311" spans="1:5" x14ac:dyDescent="0.2">
      <c r="A1311" s="799"/>
      <c r="B1311" s="800"/>
      <c r="C1311" s="805"/>
      <c r="D1311" s="806"/>
      <c r="E1311" s="805"/>
    </row>
    <row r="1312" spans="1:5" x14ac:dyDescent="0.2">
      <c r="A1312" s="799"/>
      <c r="B1312" s="800"/>
      <c r="C1312" s="805"/>
      <c r="D1312" s="806"/>
      <c r="E1312" s="805"/>
    </row>
    <row r="1313" spans="1:5" x14ac:dyDescent="0.2">
      <c r="A1313" s="807" t="s">
        <v>535</v>
      </c>
      <c r="B1313" s="808"/>
      <c r="C1313" s="809"/>
      <c r="D1313" s="810"/>
      <c r="E1313" s="803">
        <f>+E1307+E1310</f>
        <v>32.617806124604016</v>
      </c>
    </row>
    <row r="1314" spans="1:5" x14ac:dyDescent="0.2">
      <c r="A1314" s="811"/>
      <c r="B1314" s="812"/>
      <c r="C1314" s="812"/>
      <c r="D1314" s="813"/>
      <c r="E1314" s="814"/>
    </row>
    <row r="1315" spans="1:5" x14ac:dyDescent="0.2">
      <c r="A1315" s="811"/>
      <c r="B1315" s="812"/>
      <c r="C1315" s="812"/>
      <c r="D1315" s="813"/>
      <c r="E1315" s="814"/>
    </row>
    <row r="1316" spans="1:5" ht="15.75" x14ac:dyDescent="0.25">
      <c r="A1316" s="815" t="s">
        <v>536</v>
      </c>
      <c r="B1316" s="816"/>
      <c r="C1316" s="816"/>
      <c r="D1316" s="816"/>
      <c r="E1316" s="816"/>
    </row>
    <row r="1317" spans="1:5" x14ac:dyDescent="0.2">
      <c r="A1317" s="816"/>
      <c r="B1317" s="816"/>
      <c r="C1317" s="816"/>
      <c r="D1317" s="816"/>
      <c r="E1317" s="817"/>
    </row>
    <row r="1318" spans="1:5" x14ac:dyDescent="0.2">
      <c r="A1318" s="1585" t="s">
        <v>537</v>
      </c>
      <c r="B1318" s="1585"/>
      <c r="C1318" s="1585"/>
      <c r="D1318" s="1585"/>
      <c r="E1318" s="1585"/>
    </row>
    <row r="1319" spans="1:5" x14ac:dyDescent="0.2">
      <c r="A1319" s="550"/>
      <c r="B1319" s="818" t="s">
        <v>111</v>
      </c>
      <c r="C1319" s="818" t="s">
        <v>538</v>
      </c>
      <c r="D1319" s="818" t="s">
        <v>539</v>
      </c>
      <c r="E1319" s="818" t="s">
        <v>540</v>
      </c>
    </row>
    <row r="1320" spans="1:5" x14ac:dyDescent="0.2">
      <c r="A1320" s="550" t="s">
        <v>541</v>
      </c>
      <c r="B1320" s="819">
        <v>1</v>
      </c>
      <c r="C1320" s="199" t="s">
        <v>40</v>
      </c>
      <c r="D1320" s="820">
        <v>1250.8</v>
      </c>
      <c r="E1320" s="820">
        <f>+D1320*B1320</f>
        <v>1250.8</v>
      </c>
    </row>
    <row r="1321" spans="1:5" x14ac:dyDescent="0.2">
      <c r="A1321" s="550" t="s">
        <v>542</v>
      </c>
      <c r="B1321" s="819">
        <v>3.2</v>
      </c>
      <c r="C1321" s="199" t="s">
        <v>353</v>
      </c>
      <c r="D1321" s="820">
        <v>190</v>
      </c>
      <c r="E1321" s="820">
        <f>+D1321*B1321</f>
        <v>608</v>
      </c>
    </row>
    <row r="1322" spans="1:5" x14ac:dyDescent="0.2">
      <c r="A1322" s="550" t="s">
        <v>543</v>
      </c>
      <c r="B1322" s="819">
        <v>0.2</v>
      </c>
      <c r="C1322" s="199" t="s">
        <v>13</v>
      </c>
      <c r="D1322" s="820">
        <f>+E1321</f>
        <v>608</v>
      </c>
      <c r="E1322" s="820">
        <f>+D1322*B1322</f>
        <v>121.60000000000001</v>
      </c>
    </row>
    <row r="1323" spans="1:5" x14ac:dyDescent="0.2">
      <c r="A1323" s="550" t="s">
        <v>544</v>
      </c>
      <c r="B1323" s="819">
        <v>1</v>
      </c>
      <c r="C1323" s="199" t="s">
        <v>40</v>
      </c>
      <c r="D1323" s="820">
        <v>162.5</v>
      </c>
      <c r="E1323" s="820">
        <f>+D1323*B1323</f>
        <v>162.5</v>
      </c>
    </row>
    <row r="1324" spans="1:5" x14ac:dyDescent="0.2">
      <c r="A1324" s="550"/>
      <c r="B1324" s="550"/>
      <c r="C1324" s="592"/>
      <c r="D1324" s="821" t="s">
        <v>545</v>
      </c>
      <c r="E1324" s="822">
        <f>SUM(E1320:E1323)</f>
        <v>2142.8999999999996</v>
      </c>
    </row>
    <row r="1325" spans="1:5" x14ac:dyDescent="0.2">
      <c r="A1325" s="550"/>
      <c r="B1325" s="550"/>
      <c r="C1325" s="550"/>
      <c r="D1325" s="550"/>
      <c r="E1325" s="550"/>
    </row>
    <row r="1326" spans="1:5" x14ac:dyDescent="0.2">
      <c r="A1326" s="550" t="s">
        <v>546</v>
      </c>
      <c r="B1326" s="198">
        <v>55</v>
      </c>
      <c r="C1326" s="550" t="s">
        <v>547</v>
      </c>
      <c r="D1326" s="550"/>
      <c r="E1326" s="550"/>
    </row>
    <row r="1327" spans="1:5" x14ac:dyDescent="0.2">
      <c r="A1327" s="550"/>
      <c r="B1327" s="550"/>
      <c r="C1327" s="550"/>
      <c r="D1327" s="550"/>
      <c r="E1327" s="550"/>
    </row>
    <row r="1328" spans="1:5" x14ac:dyDescent="0.2">
      <c r="A1328" s="550"/>
      <c r="B1328" s="550"/>
      <c r="C1328" s="550"/>
      <c r="D1328" s="555" t="s">
        <v>548</v>
      </c>
      <c r="E1328" s="823">
        <f>E1324/B1326</f>
        <v>38.961818181818174</v>
      </c>
    </row>
    <row r="1329" spans="1:5" x14ac:dyDescent="0.2">
      <c r="A1329" s="633"/>
      <c r="B1329" s="633"/>
      <c r="C1329" s="633"/>
      <c r="D1329" s="589"/>
      <c r="E1329" s="824"/>
    </row>
    <row r="1330" spans="1:5" x14ac:dyDescent="0.2">
      <c r="A1330" s="633"/>
      <c r="B1330" s="633"/>
      <c r="C1330" s="633"/>
      <c r="D1330" s="589"/>
      <c r="E1330" s="824"/>
    </row>
    <row r="1331" spans="1:5" x14ac:dyDescent="0.2">
      <c r="A1331" s="807" t="s">
        <v>549</v>
      </c>
      <c r="B1331" s="799"/>
      <c r="C1331" s="801"/>
      <c r="D1331" s="799"/>
      <c r="E1331" s="803"/>
    </row>
    <row r="1332" spans="1:5" x14ac:dyDescent="0.2">
      <c r="A1332" s="807"/>
      <c r="B1332" s="799"/>
      <c r="C1332" s="804"/>
      <c r="D1332" s="799"/>
      <c r="E1332" s="803"/>
    </row>
    <row r="1333" spans="1:5" ht="25.5" x14ac:dyDescent="0.2">
      <c r="A1333" s="825" t="s">
        <v>550</v>
      </c>
      <c r="B1333" s="799"/>
      <c r="C1333" s="804"/>
      <c r="D1333" s="799"/>
      <c r="E1333" s="803"/>
    </row>
    <row r="1334" spans="1:5" x14ac:dyDescent="0.2">
      <c r="A1334" s="807" t="s">
        <v>551</v>
      </c>
      <c r="B1334" s="800">
        <v>2</v>
      </c>
      <c r="C1334" s="804" t="s">
        <v>552</v>
      </c>
      <c r="D1334" s="799"/>
      <c r="E1334" s="803"/>
    </row>
    <row r="1335" spans="1:5" x14ac:dyDescent="0.2">
      <c r="A1335" s="799"/>
      <c r="B1335" s="799"/>
      <c r="C1335" s="800"/>
      <c r="D1335" s="799"/>
      <c r="E1335" s="799"/>
    </row>
    <row r="1336" spans="1:5" x14ac:dyDescent="0.2">
      <c r="A1336" s="799" t="s">
        <v>553</v>
      </c>
      <c r="B1336" s="800">
        <v>15.14</v>
      </c>
      <c r="C1336" s="801" t="s">
        <v>8</v>
      </c>
      <c r="D1336" s="799"/>
      <c r="E1336" s="799"/>
    </row>
    <row r="1337" spans="1:5" x14ac:dyDescent="0.2">
      <c r="A1337" s="799"/>
      <c r="B1337" s="800"/>
      <c r="C1337" s="801"/>
      <c r="D1337" s="799"/>
      <c r="E1337" s="799"/>
    </row>
    <row r="1338" spans="1:5" x14ac:dyDescent="0.2">
      <c r="A1338" s="826" t="s">
        <v>554</v>
      </c>
      <c r="B1338" s="827"/>
      <c r="C1338" s="801"/>
      <c r="D1338" s="805"/>
      <c r="E1338" s="805"/>
    </row>
    <row r="1339" spans="1:5" x14ac:dyDescent="0.2">
      <c r="A1339" s="799" t="s">
        <v>555</v>
      </c>
      <c r="B1339" s="828">
        <v>1</v>
      </c>
      <c r="C1339" s="801" t="s">
        <v>524</v>
      </c>
      <c r="D1339" s="829">
        <v>1977</v>
      </c>
      <c r="E1339" s="829">
        <f>+D1339*B1339</f>
        <v>1977</v>
      </c>
    </row>
    <row r="1340" spans="1:5" x14ac:dyDescent="0.2">
      <c r="A1340" s="799" t="s">
        <v>556</v>
      </c>
      <c r="B1340" s="828">
        <v>1</v>
      </c>
      <c r="C1340" s="801" t="s">
        <v>524</v>
      </c>
      <c r="D1340" s="829">
        <v>659</v>
      </c>
      <c r="E1340" s="829">
        <f>+D1340*B1340</f>
        <v>659</v>
      </c>
    </row>
    <row r="1341" spans="1:5" x14ac:dyDescent="0.2">
      <c r="A1341" s="830" t="s">
        <v>557</v>
      </c>
      <c r="B1341" s="831">
        <v>1</v>
      </c>
      <c r="C1341" s="832" t="s">
        <v>558</v>
      </c>
      <c r="D1341" s="833">
        <v>1318</v>
      </c>
      <c r="E1341" s="829">
        <f>+D1341*B1341</f>
        <v>1318</v>
      </c>
    </row>
    <row r="1342" spans="1:5" x14ac:dyDescent="0.2">
      <c r="A1342" s="834" t="s">
        <v>559</v>
      </c>
      <c r="B1342" s="835">
        <v>1</v>
      </c>
      <c r="C1342" s="832" t="s">
        <v>558</v>
      </c>
      <c r="D1342" s="833">
        <v>1318</v>
      </c>
      <c r="E1342" s="829">
        <f>+D1342*B1342</f>
        <v>1318</v>
      </c>
    </row>
    <row r="1343" spans="1:5" x14ac:dyDescent="0.2">
      <c r="A1343" s="834" t="s">
        <v>560</v>
      </c>
      <c r="B1343" s="835">
        <v>1</v>
      </c>
      <c r="C1343" s="832" t="s">
        <v>524</v>
      </c>
      <c r="D1343" s="833">
        <v>1318</v>
      </c>
      <c r="E1343" s="829">
        <f>+D1343*B1343</f>
        <v>1318</v>
      </c>
    </row>
    <row r="1344" spans="1:5" ht="25.5" x14ac:dyDescent="0.2">
      <c r="A1344" s="834"/>
      <c r="B1344" s="836"/>
      <c r="C1344" s="832"/>
      <c r="D1344" s="837" t="s">
        <v>561</v>
      </c>
      <c r="E1344" s="838">
        <f>SUM(E1339:E1343)</f>
        <v>6590</v>
      </c>
    </row>
    <row r="1345" spans="1:5" x14ac:dyDescent="0.2">
      <c r="A1345" s="834"/>
      <c r="B1345" s="836"/>
      <c r="C1345" s="832"/>
      <c r="D1345" s="836"/>
      <c r="E1345" s="805"/>
    </row>
    <row r="1346" spans="1:5" x14ac:dyDescent="0.2">
      <c r="A1346" s="839" t="s">
        <v>562</v>
      </c>
      <c r="B1346" s="836"/>
      <c r="C1346" s="832"/>
      <c r="D1346" s="836"/>
      <c r="E1346" s="805"/>
    </row>
    <row r="1347" spans="1:5" x14ac:dyDescent="0.2">
      <c r="A1347" s="834" t="s">
        <v>563</v>
      </c>
      <c r="B1347" s="836">
        <v>8</v>
      </c>
      <c r="C1347" s="832" t="s">
        <v>336</v>
      </c>
      <c r="D1347" s="836">
        <v>459.29</v>
      </c>
      <c r="E1347" s="836">
        <f>+D1347*B1347</f>
        <v>3674.32</v>
      </c>
    </row>
    <row r="1348" spans="1:5" x14ac:dyDescent="0.2">
      <c r="A1348" s="830" t="s">
        <v>564</v>
      </c>
      <c r="B1348" s="835">
        <v>1</v>
      </c>
      <c r="C1348" s="832" t="s">
        <v>43</v>
      </c>
      <c r="D1348" s="830">
        <v>181.5</v>
      </c>
      <c r="E1348" s="830">
        <f>+D1348*B1348</f>
        <v>181.5</v>
      </c>
    </row>
    <row r="1349" spans="1:5" x14ac:dyDescent="0.2">
      <c r="A1349" s="830"/>
      <c r="B1349" s="830"/>
      <c r="C1349" s="832"/>
      <c r="D1349" s="830" t="s">
        <v>565</v>
      </c>
      <c r="E1349" s="840">
        <f>SUM(E1347:E1348)</f>
        <v>3855.82</v>
      </c>
    </row>
    <row r="1350" spans="1:5" x14ac:dyDescent="0.2">
      <c r="A1350" s="836"/>
      <c r="B1350" s="830"/>
      <c r="C1350" s="832"/>
      <c r="D1350" s="830"/>
      <c r="E1350" s="830"/>
    </row>
    <row r="1351" spans="1:5" x14ac:dyDescent="0.2">
      <c r="A1351" s="841" t="s">
        <v>566</v>
      </c>
      <c r="B1351" s="830"/>
      <c r="C1351" s="832"/>
      <c r="D1351" s="830"/>
      <c r="E1351" s="840">
        <f>+E1344+E1349</f>
        <v>10445.82</v>
      </c>
    </row>
    <row r="1352" spans="1:5" x14ac:dyDescent="0.2">
      <c r="A1352" s="836"/>
      <c r="B1352" s="830"/>
      <c r="C1352" s="832"/>
      <c r="D1352" s="830"/>
      <c r="E1352" s="830"/>
    </row>
    <row r="1353" spans="1:5" x14ac:dyDescent="0.2">
      <c r="A1353" s="836"/>
      <c r="B1353" s="830"/>
      <c r="C1353" s="832"/>
      <c r="D1353" s="830"/>
      <c r="E1353" s="830"/>
    </row>
    <row r="1354" spans="1:5" x14ac:dyDescent="0.2">
      <c r="A1354" s="841" t="s">
        <v>567</v>
      </c>
      <c r="B1354" s="830"/>
      <c r="C1354" s="832"/>
      <c r="D1354" s="830"/>
      <c r="E1354" s="830"/>
    </row>
    <row r="1355" spans="1:5" x14ac:dyDescent="0.2">
      <c r="A1355" s="830" t="s">
        <v>568</v>
      </c>
      <c r="B1355" s="835">
        <v>1</v>
      </c>
      <c r="C1355" s="832" t="s">
        <v>23</v>
      </c>
      <c r="D1355" s="835">
        <v>90</v>
      </c>
      <c r="E1355" s="835">
        <f>+D1355*B1355</f>
        <v>90</v>
      </c>
    </row>
    <row r="1356" spans="1:5" x14ac:dyDescent="0.2">
      <c r="A1356" s="830" t="s">
        <v>569</v>
      </c>
      <c r="B1356" s="835">
        <v>1</v>
      </c>
      <c r="C1356" s="832" t="s">
        <v>23</v>
      </c>
      <c r="D1356" s="835">
        <v>14.8</v>
      </c>
      <c r="E1356" s="835">
        <f>+D1356*B1356</f>
        <v>14.8</v>
      </c>
    </row>
    <row r="1357" spans="1:5" x14ac:dyDescent="0.2">
      <c r="A1357" s="830" t="s">
        <v>570</v>
      </c>
      <c r="B1357" s="835">
        <v>1</v>
      </c>
      <c r="C1357" s="832" t="s">
        <v>23</v>
      </c>
      <c r="D1357" s="835">
        <v>20</v>
      </c>
      <c r="E1357" s="835">
        <f>+D1357*B1357</f>
        <v>20</v>
      </c>
    </row>
    <row r="1358" spans="1:5" x14ac:dyDescent="0.2">
      <c r="A1358" s="830"/>
      <c r="B1358" s="830"/>
      <c r="C1358" s="832"/>
      <c r="D1358" s="830" t="s">
        <v>571</v>
      </c>
      <c r="E1358" s="842">
        <f>SUM(E1355:E1357)</f>
        <v>124.8</v>
      </c>
    </row>
    <row r="1359" spans="1:5" x14ac:dyDescent="0.2">
      <c r="A1359" s="830"/>
      <c r="B1359" s="830"/>
      <c r="C1359" s="832"/>
      <c r="D1359" s="830"/>
      <c r="E1359" s="830"/>
    </row>
    <row r="1360" spans="1:5" x14ac:dyDescent="0.2">
      <c r="A1360" s="830" t="s">
        <v>572</v>
      </c>
      <c r="B1360" s="830">
        <v>0.75</v>
      </c>
      <c r="C1360" s="832" t="s">
        <v>573</v>
      </c>
      <c r="D1360" s="830"/>
      <c r="E1360" s="830"/>
    </row>
    <row r="1361" spans="1:5" x14ac:dyDescent="0.2">
      <c r="A1361" s="843" t="s">
        <v>574</v>
      </c>
      <c r="B1361" s="841"/>
      <c r="C1361" s="830"/>
      <c r="D1361" s="841" t="s">
        <v>575</v>
      </c>
      <c r="E1361" s="841">
        <f>+E1358/B1360</f>
        <v>166.4</v>
      </c>
    </row>
    <row r="1362" spans="1:5" x14ac:dyDescent="0.2">
      <c r="A1362" s="830"/>
      <c r="B1362" s="841"/>
      <c r="C1362" s="830"/>
      <c r="D1362" s="841"/>
      <c r="E1362" s="841"/>
    </row>
    <row r="1363" spans="1:5" x14ac:dyDescent="0.2">
      <c r="A1363" s="836"/>
      <c r="B1363" s="830"/>
      <c r="C1363" s="832"/>
      <c r="D1363" s="830"/>
      <c r="E1363" s="830"/>
    </row>
    <row r="1364" spans="1:5" x14ac:dyDescent="0.2">
      <c r="A1364" s="841" t="s">
        <v>576</v>
      </c>
      <c r="B1364" s="830"/>
      <c r="C1364" s="832"/>
      <c r="D1364" s="830"/>
      <c r="E1364" s="836"/>
    </row>
    <row r="1365" spans="1:5" x14ac:dyDescent="0.2">
      <c r="A1365" s="841"/>
      <c r="B1365" s="830"/>
      <c r="C1365" s="832"/>
      <c r="D1365" s="830"/>
      <c r="E1365" s="836"/>
    </row>
    <row r="1366" spans="1:5" x14ac:dyDescent="0.2">
      <c r="A1366" s="830" t="s">
        <v>577</v>
      </c>
      <c r="B1366" s="835">
        <v>7.57</v>
      </c>
      <c r="C1366" s="832" t="s">
        <v>578</v>
      </c>
      <c r="D1366" s="830"/>
      <c r="E1366" s="830"/>
    </row>
    <row r="1367" spans="1:5" x14ac:dyDescent="0.2">
      <c r="A1367" s="830" t="s">
        <v>579</v>
      </c>
      <c r="B1367" s="835">
        <v>1</v>
      </c>
      <c r="C1367" s="832" t="s">
        <v>10</v>
      </c>
      <c r="D1367" s="836">
        <f>E1351/B1366</f>
        <v>1379.8969616908851</v>
      </c>
      <c r="E1367" s="836">
        <f>+D1367*B1367</f>
        <v>1379.8969616908851</v>
      </c>
    </row>
    <row r="1368" spans="1:5" x14ac:dyDescent="0.2">
      <c r="A1368" s="830"/>
      <c r="B1368" s="844"/>
      <c r="C1368" s="832"/>
      <c r="D1368" s="830"/>
      <c r="E1368" s="830"/>
    </row>
    <row r="1369" spans="1:5" x14ac:dyDescent="0.2">
      <c r="A1369" s="841" t="s">
        <v>580</v>
      </c>
      <c r="B1369" s="844"/>
      <c r="C1369" s="832"/>
      <c r="D1369" s="830"/>
      <c r="E1369" s="830"/>
    </row>
    <row r="1370" spans="1:5" x14ac:dyDescent="0.2">
      <c r="A1370" s="830" t="s">
        <v>581</v>
      </c>
      <c r="B1370" s="835">
        <v>1</v>
      </c>
      <c r="C1370" s="832" t="s">
        <v>582</v>
      </c>
      <c r="D1370" s="836">
        <v>7583.71</v>
      </c>
      <c r="E1370" s="836">
        <f>+D1370*B1370</f>
        <v>7583.71</v>
      </c>
    </row>
    <row r="1371" spans="1:5" ht="25.5" x14ac:dyDescent="0.2">
      <c r="A1371" s="845" t="s">
        <v>583</v>
      </c>
      <c r="B1371" s="835">
        <v>1</v>
      </c>
      <c r="C1371" s="832" t="s">
        <v>584</v>
      </c>
      <c r="D1371" s="836">
        <f>100*19.74</f>
        <v>1973.9999999999998</v>
      </c>
      <c r="E1371" s="836">
        <f>+D1371*B1371</f>
        <v>1973.9999999999998</v>
      </c>
    </row>
    <row r="1372" spans="1:5" x14ac:dyDescent="0.2">
      <c r="A1372" s="830" t="s">
        <v>585</v>
      </c>
      <c r="B1372" s="835">
        <v>1</v>
      </c>
      <c r="C1372" s="832" t="s">
        <v>582</v>
      </c>
      <c r="D1372" s="836">
        <f>+E1367</f>
        <v>1379.8969616908851</v>
      </c>
      <c r="E1372" s="836">
        <f>+D1372*B1372</f>
        <v>1379.8969616908851</v>
      </c>
    </row>
    <row r="1373" spans="1:5" x14ac:dyDescent="0.2">
      <c r="A1373" s="841"/>
      <c r="B1373" s="846"/>
      <c r="C1373" s="847"/>
      <c r="D1373" s="848" t="s">
        <v>586</v>
      </c>
      <c r="E1373" s="838">
        <f>SUM(E1370:E1372)</f>
        <v>10937.606961690884</v>
      </c>
    </row>
    <row r="1374" spans="1:5" x14ac:dyDescent="0.2">
      <c r="A1374" s="830"/>
      <c r="B1374" s="830"/>
      <c r="C1374" s="832"/>
      <c r="D1374" s="830"/>
      <c r="E1374" s="830"/>
    </row>
    <row r="1375" spans="1:5" x14ac:dyDescent="0.2">
      <c r="A1375" s="841" t="s">
        <v>587</v>
      </c>
      <c r="B1375" s="830"/>
      <c r="C1375" s="832"/>
      <c r="D1375" s="848" t="s">
        <v>186</v>
      </c>
      <c r="E1375" s="840">
        <f>+(E1373/B1336)+E1361</f>
        <v>888.83110711300424</v>
      </c>
    </row>
    <row r="1376" spans="1:5" x14ac:dyDescent="0.2">
      <c r="A1376" s="633"/>
      <c r="B1376" s="633"/>
      <c r="C1376" s="633"/>
      <c r="D1376" s="589"/>
      <c r="E1376" s="824"/>
    </row>
    <row r="1377" spans="1:5" x14ac:dyDescent="0.2">
      <c r="A1377" s="322"/>
      <c r="B1377" s="323"/>
      <c r="C1377" s="322"/>
      <c r="D1377" s="323"/>
      <c r="E1377" s="323"/>
    </row>
    <row r="1378" spans="1:5" x14ac:dyDescent="0.2">
      <c r="A1378" t="s">
        <v>427</v>
      </c>
    </row>
    <row r="1379" spans="1:5" x14ac:dyDescent="0.2">
      <c r="A1379" t="s">
        <v>588</v>
      </c>
      <c r="B1379">
        <v>4</v>
      </c>
      <c r="C1379" t="s">
        <v>24</v>
      </c>
      <c r="D1379">
        <v>855</v>
      </c>
      <c r="E1379">
        <f t="shared" ref="E1379:E1385" si="25">B1379*D1379</f>
        <v>3420</v>
      </c>
    </row>
    <row r="1380" spans="1:5" x14ac:dyDescent="0.2">
      <c r="A1380" t="s">
        <v>408</v>
      </c>
      <c r="B1380">
        <v>4</v>
      </c>
      <c r="C1380" t="s">
        <v>24</v>
      </c>
      <c r="D1380">
        <v>34.950000000000003</v>
      </c>
      <c r="E1380">
        <f t="shared" si="25"/>
        <v>139.80000000000001</v>
      </c>
    </row>
    <row r="1381" spans="1:5" x14ac:dyDescent="0.2">
      <c r="A1381" t="s">
        <v>39</v>
      </c>
      <c r="B1381">
        <v>5.4</v>
      </c>
      <c r="C1381" t="s">
        <v>16</v>
      </c>
      <c r="D1381">
        <v>1352.54</v>
      </c>
      <c r="E1381">
        <f t="shared" si="25"/>
        <v>7303.7160000000003</v>
      </c>
    </row>
    <row r="1382" spans="1:5" x14ac:dyDescent="0.2">
      <c r="A1382" t="s">
        <v>409</v>
      </c>
      <c r="B1382">
        <v>2</v>
      </c>
      <c r="C1382" t="s">
        <v>24</v>
      </c>
      <c r="D1382">
        <v>316.2</v>
      </c>
      <c r="E1382">
        <f t="shared" si="25"/>
        <v>632.4</v>
      </c>
    </row>
    <row r="1383" spans="1:5" x14ac:dyDescent="0.2">
      <c r="A1383" t="s">
        <v>265</v>
      </c>
      <c r="B1383">
        <v>18</v>
      </c>
      <c r="C1383" t="s">
        <v>24</v>
      </c>
      <c r="D1383">
        <v>34.950000000000003</v>
      </c>
      <c r="E1383">
        <f t="shared" si="25"/>
        <v>629.1</v>
      </c>
    </row>
    <row r="1384" spans="1:5" x14ac:dyDescent="0.2">
      <c r="A1384" t="s">
        <v>410</v>
      </c>
      <c r="B1384">
        <v>2</v>
      </c>
      <c r="C1384" t="s">
        <v>411</v>
      </c>
      <c r="D1384">
        <v>243.9</v>
      </c>
      <c r="E1384">
        <f t="shared" si="25"/>
        <v>487.8</v>
      </c>
    </row>
    <row r="1385" spans="1:5" x14ac:dyDescent="0.2">
      <c r="A1385" t="s">
        <v>413</v>
      </c>
      <c r="B1385">
        <v>1</v>
      </c>
      <c r="C1385" t="s">
        <v>151</v>
      </c>
      <c r="D1385">
        <v>2500</v>
      </c>
      <c r="E1385">
        <f t="shared" si="25"/>
        <v>2500</v>
      </c>
    </row>
    <row r="1386" spans="1:5" x14ac:dyDescent="0.2">
      <c r="A1386" t="s">
        <v>414</v>
      </c>
    </row>
    <row r="1387" spans="1:5" x14ac:dyDescent="0.2">
      <c r="A1387" t="s">
        <v>589</v>
      </c>
      <c r="B1387">
        <v>1</v>
      </c>
      <c r="C1387" t="s">
        <v>151</v>
      </c>
      <c r="D1387">
        <v>1977</v>
      </c>
      <c r="E1387">
        <f t="shared" ref="E1387:E1396" si="26">B1387*D1387</f>
        <v>1977</v>
      </c>
    </row>
    <row r="1388" spans="1:5" x14ac:dyDescent="0.2">
      <c r="A1388" t="s">
        <v>416</v>
      </c>
      <c r="B1388">
        <v>1</v>
      </c>
      <c r="C1388" t="s">
        <v>151</v>
      </c>
      <c r="D1388">
        <v>847</v>
      </c>
      <c r="E1388">
        <f t="shared" si="26"/>
        <v>847</v>
      </c>
    </row>
    <row r="1389" spans="1:5" x14ac:dyDescent="0.2">
      <c r="A1389" t="s">
        <v>417</v>
      </c>
      <c r="B1389">
        <v>1</v>
      </c>
      <c r="C1389" t="s">
        <v>151</v>
      </c>
      <c r="D1389">
        <v>659</v>
      </c>
      <c r="E1389">
        <f t="shared" si="26"/>
        <v>659</v>
      </c>
    </row>
    <row r="1390" spans="1:5" x14ac:dyDescent="0.2">
      <c r="A1390" t="s">
        <v>418</v>
      </c>
      <c r="B1390">
        <v>1</v>
      </c>
      <c r="C1390" t="s">
        <v>24</v>
      </c>
      <c r="D1390">
        <v>450</v>
      </c>
      <c r="E1390">
        <f t="shared" si="26"/>
        <v>450</v>
      </c>
    </row>
    <row r="1391" spans="1:5" x14ac:dyDescent="0.2">
      <c r="A1391" t="s">
        <v>419</v>
      </c>
      <c r="B1391">
        <v>1</v>
      </c>
      <c r="C1391" t="s">
        <v>24</v>
      </c>
      <c r="D1391">
        <v>145</v>
      </c>
      <c r="E1391">
        <f t="shared" si="26"/>
        <v>145</v>
      </c>
    </row>
    <row r="1392" spans="1:5" x14ac:dyDescent="0.2">
      <c r="A1392" t="s">
        <v>420</v>
      </c>
      <c r="B1392">
        <v>6</v>
      </c>
      <c r="C1392" t="s">
        <v>24</v>
      </c>
      <c r="D1392">
        <v>87.65</v>
      </c>
      <c r="E1392">
        <f t="shared" si="26"/>
        <v>525.90000000000009</v>
      </c>
    </row>
    <row r="1393" spans="1:5" x14ac:dyDescent="0.2">
      <c r="A1393" t="s">
        <v>421</v>
      </c>
      <c r="B1393">
        <v>9</v>
      </c>
      <c r="C1393" t="s">
        <v>15</v>
      </c>
      <c r="D1393">
        <v>9.33</v>
      </c>
      <c r="E1393">
        <f t="shared" si="26"/>
        <v>83.97</v>
      </c>
    </row>
    <row r="1394" spans="1:5" x14ac:dyDescent="0.2">
      <c r="A1394" t="s">
        <v>422</v>
      </c>
      <c r="B1394">
        <v>9.66</v>
      </c>
      <c r="C1394" t="s">
        <v>16</v>
      </c>
      <c r="D1394">
        <v>153.43</v>
      </c>
      <c r="E1394">
        <f t="shared" si="26"/>
        <v>1482.1338000000001</v>
      </c>
    </row>
    <row r="1395" spans="1:5" x14ac:dyDescent="0.2">
      <c r="A1395" t="s">
        <v>424</v>
      </c>
      <c r="B1395">
        <v>1</v>
      </c>
      <c r="C1395" t="s">
        <v>25</v>
      </c>
      <c r="D1395">
        <v>1000</v>
      </c>
      <c r="E1395">
        <f t="shared" si="26"/>
        <v>1000</v>
      </c>
    </row>
    <row r="1396" spans="1:5" x14ac:dyDescent="0.2">
      <c r="A1396" t="s">
        <v>51</v>
      </c>
      <c r="B1396">
        <v>1</v>
      </c>
      <c r="C1396" t="s">
        <v>25</v>
      </c>
      <c r="D1396">
        <v>400</v>
      </c>
      <c r="E1396">
        <f t="shared" si="26"/>
        <v>400</v>
      </c>
    </row>
    <row r="1397" spans="1:5" x14ac:dyDescent="0.2">
      <c r="A1397" t="s">
        <v>425</v>
      </c>
      <c r="C1397" s="1584" t="s">
        <v>426</v>
      </c>
      <c r="D1397" s="1584"/>
      <c r="E1397">
        <f>ROUND(SUM(E1379:E1396),2)</f>
        <v>22682.82</v>
      </c>
    </row>
    <row r="1398" spans="1:5" x14ac:dyDescent="0.2">
      <c r="A1398" s="322"/>
      <c r="B1398" s="323"/>
      <c r="C1398" s="849"/>
      <c r="D1398" s="323"/>
      <c r="E1398" s="323"/>
    </row>
    <row r="1399" spans="1:5" x14ac:dyDescent="0.2">
      <c r="A1399" s="850"/>
      <c r="B1399" s="851"/>
      <c r="C1399" s="852"/>
      <c r="D1399" s="851"/>
      <c r="E1399" s="851"/>
    </row>
    <row r="1400" spans="1:5" x14ac:dyDescent="0.2">
      <c r="A1400" s="61" t="s">
        <v>590</v>
      </c>
      <c r="B1400" s="853"/>
      <c r="C1400" s="853"/>
      <c r="D1400" s="853"/>
      <c r="E1400" s="853"/>
    </row>
    <row r="1401" spans="1:5" x14ac:dyDescent="0.2">
      <c r="A1401" s="853" t="s">
        <v>591</v>
      </c>
      <c r="B1401" s="853">
        <v>1</v>
      </c>
      <c r="C1401" s="853" t="s">
        <v>24</v>
      </c>
      <c r="D1401">
        <v>3245</v>
      </c>
      <c r="E1401" s="853">
        <f>+B1401*D1401</f>
        <v>3245</v>
      </c>
    </row>
    <row r="1402" spans="1:5" x14ac:dyDescent="0.2">
      <c r="A1402" s="853" t="s">
        <v>592</v>
      </c>
      <c r="B1402" s="853">
        <v>0.12</v>
      </c>
      <c r="C1402" s="853" t="s">
        <v>10</v>
      </c>
      <c r="D1402">
        <f>+E1415</f>
        <v>9912.07</v>
      </c>
      <c r="E1402" s="853">
        <f>ROUND(B1402*D1402,2)</f>
        <v>1189.45</v>
      </c>
    </row>
    <row r="1403" spans="1:5" x14ac:dyDescent="0.2">
      <c r="A1403" s="853"/>
      <c r="B1403" s="853"/>
      <c r="C1403" s="853"/>
      <c r="E1403" s="854"/>
    </row>
    <row r="1404" spans="1:5" ht="25.5" x14ac:dyDescent="0.2">
      <c r="A1404" s="855" t="s">
        <v>593</v>
      </c>
      <c r="B1404" s="853">
        <v>0.08</v>
      </c>
      <c r="C1404" s="853" t="s">
        <v>10</v>
      </c>
      <c r="D1404">
        <f>+E1415</f>
        <v>9912.07</v>
      </c>
      <c r="E1404">
        <f>+B1404*D1404</f>
        <v>792.96559999999999</v>
      </c>
    </row>
    <row r="1405" spans="1:5" x14ac:dyDescent="0.2">
      <c r="A1405" s="853" t="s">
        <v>594</v>
      </c>
      <c r="B1405" s="853">
        <v>1</v>
      </c>
      <c r="C1405" s="853" t="s">
        <v>10</v>
      </c>
      <c r="D1405">
        <v>3000</v>
      </c>
      <c r="E1405" s="853">
        <f>ROUND(B1405*D1405,2)</f>
        <v>3000</v>
      </c>
    </row>
    <row r="1406" spans="1:5" x14ac:dyDescent="0.2">
      <c r="A1406" s="853" t="s">
        <v>159</v>
      </c>
      <c r="B1406" s="853">
        <v>1</v>
      </c>
      <c r="C1406" s="853" t="s">
        <v>151</v>
      </c>
      <c r="D1406">
        <v>650</v>
      </c>
      <c r="E1406" s="853">
        <f>ROUND(B1406*D1406,2)</f>
        <v>650</v>
      </c>
    </row>
    <row r="1407" spans="1:5" x14ac:dyDescent="0.2">
      <c r="A1407" s="853"/>
      <c r="B1407" s="853"/>
      <c r="C1407" s="853"/>
      <c r="D1407" s="853"/>
      <c r="E1407" s="853"/>
    </row>
    <row r="1408" spans="1:5" x14ac:dyDescent="0.2">
      <c r="A1408" s="853" t="s">
        <v>540</v>
      </c>
      <c r="B1408" s="1581" t="s">
        <v>595</v>
      </c>
      <c r="C1408" s="1581"/>
      <c r="D1408" s="1581"/>
      <c r="E1408" s="856">
        <f>SUM(E1401:E1407)</f>
        <v>8877.4156000000003</v>
      </c>
    </row>
    <row r="1409" spans="1:5" x14ac:dyDescent="0.2">
      <c r="A1409" s="853"/>
      <c r="B1409" s="853"/>
      <c r="C1409" s="801"/>
      <c r="D1409" s="853"/>
      <c r="E1409" s="853"/>
    </row>
    <row r="1410" spans="1:5" x14ac:dyDescent="0.2">
      <c r="A1410" s="854"/>
      <c r="B1410" s="854"/>
      <c r="D1410" s="854"/>
      <c r="E1410" s="854"/>
    </row>
    <row r="1411" spans="1:5" x14ac:dyDescent="0.2">
      <c r="A1411" t="s">
        <v>596</v>
      </c>
    </row>
    <row r="1412" spans="1:5" x14ac:dyDescent="0.2">
      <c r="A1412" t="s">
        <v>389</v>
      </c>
      <c r="B1412">
        <v>1.05</v>
      </c>
      <c r="C1412" t="s">
        <v>10</v>
      </c>
      <c r="D1412">
        <v>4606.78</v>
      </c>
      <c r="E1412">
        <f>B1412*D1412</f>
        <v>4837.1189999999997</v>
      </c>
    </row>
    <row r="1413" spans="1:5" x14ac:dyDescent="0.2">
      <c r="A1413" t="s">
        <v>249</v>
      </c>
      <c r="B1413">
        <v>1.67</v>
      </c>
      <c r="C1413" t="s">
        <v>122</v>
      </c>
      <c r="D1413">
        <v>2300</v>
      </c>
      <c r="E1413">
        <f>B1413*D1413</f>
        <v>3841</v>
      </c>
    </row>
    <row r="1414" spans="1:5" x14ac:dyDescent="0.2">
      <c r="A1414" t="s">
        <v>597</v>
      </c>
      <c r="B1414">
        <v>6.67</v>
      </c>
      <c r="C1414" t="s">
        <v>16</v>
      </c>
      <c r="D1414">
        <v>185</v>
      </c>
      <c r="E1414">
        <f>B1414*D1414</f>
        <v>1233.95</v>
      </c>
    </row>
    <row r="1415" spans="1:5" x14ac:dyDescent="0.2">
      <c r="D1415" t="s">
        <v>140</v>
      </c>
      <c r="E1415">
        <f>ROUND(SUM(E1412:E1414),2)</f>
        <v>9912.07</v>
      </c>
    </row>
    <row r="1416" spans="1:5" x14ac:dyDescent="0.2">
      <c r="A1416" s="322"/>
      <c r="B1416" s="323"/>
      <c r="C1416" s="849"/>
      <c r="D1416" s="323"/>
      <c r="E1416" s="323"/>
    </row>
    <row r="1417" spans="1:5" ht="13.5" thickBot="1" x14ac:dyDescent="0.25">
      <c r="A1417" s="857" t="s">
        <v>598</v>
      </c>
      <c r="B1417" s="851"/>
      <c r="C1417" s="852"/>
      <c r="D1417" s="851"/>
      <c r="E1417" s="851"/>
    </row>
    <row r="1418" spans="1:5" ht="13.5" thickTop="1" x14ac:dyDescent="0.2">
      <c r="A1418" s="745" t="s">
        <v>599</v>
      </c>
      <c r="B1418" s="746">
        <v>1.05</v>
      </c>
      <c r="C1418" s="747" t="s">
        <v>10</v>
      </c>
      <c r="D1418" s="851">
        <f>+E68</f>
        <v>4783.0078000000003</v>
      </c>
      <c r="E1418" s="851">
        <f>+B1418*D1418</f>
        <v>5022.1581900000001</v>
      </c>
    </row>
    <row r="1419" spans="1:5" x14ac:dyDescent="0.2">
      <c r="A1419" s="850" t="s">
        <v>21</v>
      </c>
      <c r="B1419" s="851">
        <v>2</v>
      </c>
      <c r="C1419" t="s">
        <v>10</v>
      </c>
      <c r="D1419" s="851">
        <f>+E107</f>
        <v>310.67</v>
      </c>
      <c r="E1419" s="851">
        <f>+B1419*D1419</f>
        <v>621.34</v>
      </c>
    </row>
    <row r="1420" spans="1:5" x14ac:dyDescent="0.2">
      <c r="A1420" s="850" t="s">
        <v>27</v>
      </c>
      <c r="B1420" s="851">
        <v>8</v>
      </c>
      <c r="C1420" t="s">
        <v>8</v>
      </c>
      <c r="D1420" s="851">
        <f>+E145</f>
        <v>86.54</v>
      </c>
      <c r="E1420" s="851">
        <f>+B1420*D1420</f>
        <v>692.32</v>
      </c>
    </row>
    <row r="1421" spans="1:5" x14ac:dyDescent="0.2">
      <c r="A1421" s="850"/>
      <c r="B1421" s="851"/>
      <c r="C1421" s="852"/>
      <c r="D1421" s="858"/>
      <c r="E1421" s="859">
        <f>SUM(E1418:E1420)</f>
        <v>6335.81819</v>
      </c>
    </row>
    <row r="1422" spans="1:5" x14ac:dyDescent="0.2">
      <c r="A1422" s="322"/>
      <c r="B1422" s="323"/>
      <c r="C1422" s="849"/>
      <c r="D1422" s="323"/>
      <c r="E1422" s="860">
        <f>+E1421/4</f>
        <v>1583.9545475</v>
      </c>
    </row>
    <row r="1423" spans="1:5" x14ac:dyDescent="0.2">
      <c r="A1423" t="s">
        <v>600</v>
      </c>
    </row>
    <row r="1424" spans="1:5" x14ac:dyDescent="0.2">
      <c r="A1424" t="s">
        <v>554</v>
      </c>
    </row>
    <row r="1425" spans="1:5" x14ac:dyDescent="0.2">
      <c r="A1425" t="s">
        <v>601</v>
      </c>
      <c r="B1425" t="s">
        <v>151</v>
      </c>
      <c r="C1425">
        <v>1</v>
      </c>
      <c r="D1425">
        <v>1977</v>
      </c>
      <c r="E1425">
        <f>+C1425*D1425</f>
        <v>1977</v>
      </c>
    </row>
    <row r="1426" spans="1:5" x14ac:dyDescent="0.2">
      <c r="A1426" t="s">
        <v>602</v>
      </c>
      <c r="B1426" t="s">
        <v>151</v>
      </c>
      <c r="C1426">
        <v>1</v>
      </c>
      <c r="D1426">
        <v>3954</v>
      </c>
      <c r="E1426">
        <f>+C1426*D1426</f>
        <v>3954</v>
      </c>
    </row>
    <row r="1427" spans="1:5" x14ac:dyDescent="0.2">
      <c r="A1427" t="s">
        <v>191</v>
      </c>
      <c r="E1427">
        <f>(E1425+E1426)*3%</f>
        <v>177.93</v>
      </c>
    </row>
    <row r="1428" spans="1:5" x14ac:dyDescent="0.2">
      <c r="A1428" t="s">
        <v>603</v>
      </c>
      <c r="D1428" t="s">
        <v>179</v>
      </c>
      <c r="E1428">
        <f>SUM(E1425:E1427)</f>
        <v>6108.93</v>
      </c>
    </row>
    <row r="1429" spans="1:5" x14ac:dyDescent="0.2">
      <c r="D1429" t="s">
        <v>604</v>
      </c>
      <c r="E1429">
        <f>+E1428/100</f>
        <v>61.089300000000001</v>
      </c>
    </row>
    <row r="1431" spans="1:5" x14ac:dyDescent="0.2">
      <c r="A1431" s="322"/>
      <c r="B1431" s="323"/>
      <c r="C1431" s="849"/>
      <c r="D1431" s="323"/>
      <c r="E1431" s="323"/>
    </row>
    <row r="1433" spans="1:5" x14ac:dyDescent="0.2">
      <c r="A1433" s="868"/>
      <c r="B1433" s="869"/>
      <c r="C1433" s="868"/>
      <c r="D1433" s="869"/>
    </row>
    <row r="1434" spans="1:5" x14ac:dyDescent="0.2">
      <c r="A1434" s="870" t="s">
        <v>613</v>
      </c>
      <c r="B1434" s="443"/>
      <c r="C1434" s="444"/>
      <c r="D1434" s="444"/>
    </row>
    <row r="1436" spans="1:5" x14ac:dyDescent="0.2">
      <c r="A1436" s="914" t="s">
        <v>614</v>
      </c>
      <c r="B1436" s="872"/>
      <c r="C1436" s="872"/>
      <c r="D1436" s="872"/>
      <c r="E1436" s="872"/>
    </row>
    <row r="1437" spans="1:5" ht="13.5" thickBot="1" x14ac:dyDescent="0.25">
      <c r="A1437" s="871" t="s">
        <v>618</v>
      </c>
      <c r="B1437" s="873"/>
      <c r="C1437" s="873"/>
      <c r="D1437" s="873"/>
      <c r="E1437" s="873"/>
    </row>
    <row r="1438" spans="1:5" ht="13.5" thickTop="1" x14ac:dyDescent="0.2">
      <c r="A1438" s="874" t="s">
        <v>615</v>
      </c>
      <c r="B1438" s="875">
        <v>1.05</v>
      </c>
      <c r="C1438" s="876" t="s">
        <v>10</v>
      </c>
      <c r="D1438" s="875">
        <f>+E68</f>
        <v>4783.0078000000003</v>
      </c>
      <c r="E1438" s="877">
        <f>B1438*D1438</f>
        <v>5022.1581900000001</v>
      </c>
    </row>
    <row r="1439" spans="1:5" x14ac:dyDescent="0.2">
      <c r="A1439" s="878" t="s">
        <v>249</v>
      </c>
      <c r="B1439" s="879">
        <v>1.88</v>
      </c>
      <c r="C1439" s="880" t="s">
        <v>122</v>
      </c>
      <c r="D1439" s="879">
        <f>+E175</f>
        <v>2358.2800000000002</v>
      </c>
      <c r="E1439" s="881">
        <f>B1439*D1439</f>
        <v>4433.5663999999997</v>
      </c>
    </row>
    <row r="1440" spans="1:5" ht="13.5" thickBot="1" x14ac:dyDescent="0.25">
      <c r="A1440" s="882"/>
      <c r="B1440" s="883"/>
      <c r="C1440" s="883"/>
      <c r="D1440" s="884"/>
      <c r="E1440" s="885">
        <f>ROUND(SUM(E1436:E1439),2)</f>
        <v>9455.7199999999993</v>
      </c>
    </row>
    <row r="1441" spans="1:6" ht="13.5" thickTop="1" x14ac:dyDescent="0.2">
      <c r="A1441" s="886"/>
      <c r="B1441" s="872"/>
      <c r="C1441" s="872"/>
      <c r="D1441" s="872"/>
      <c r="E1441" s="872"/>
    </row>
    <row r="1442" spans="1:6" ht="13.5" thickBot="1" x14ac:dyDescent="0.25">
      <c r="A1442" s="871" t="s">
        <v>616</v>
      </c>
      <c r="B1442" s="873"/>
      <c r="C1442" s="873"/>
      <c r="D1442" s="873"/>
      <c r="E1442" s="873"/>
    </row>
    <row r="1443" spans="1:6" ht="13.5" thickTop="1" x14ac:dyDescent="0.2">
      <c r="A1443" s="874" t="s">
        <v>389</v>
      </c>
      <c r="B1443" s="875">
        <v>1.05</v>
      </c>
      <c r="C1443" s="876" t="s">
        <v>10</v>
      </c>
      <c r="D1443" s="875">
        <f>+D1438</f>
        <v>4783.0078000000003</v>
      </c>
      <c r="E1443" s="877">
        <f>B1443*D1443</f>
        <v>5022.1581900000001</v>
      </c>
    </row>
    <row r="1444" spans="1:6" x14ac:dyDescent="0.2">
      <c r="A1444" s="878" t="s">
        <v>249</v>
      </c>
      <c r="B1444" s="879">
        <v>3.38</v>
      </c>
      <c r="C1444" s="880" t="s">
        <v>122</v>
      </c>
      <c r="D1444" s="879">
        <f>+D1439</f>
        <v>2358.2800000000002</v>
      </c>
      <c r="E1444" s="881">
        <f>B1444*D1444</f>
        <v>7970.9864000000007</v>
      </c>
      <c r="F1444" s="1025">
        <f>1/0.15</f>
        <v>6.666666666666667</v>
      </c>
    </row>
    <row r="1445" spans="1:6" x14ac:dyDescent="0.2">
      <c r="A1445" s="878" t="s">
        <v>281</v>
      </c>
      <c r="B1445" s="879">
        <f>1/0.15</f>
        <v>6.666666666666667</v>
      </c>
      <c r="C1445" s="887" t="s">
        <v>16</v>
      </c>
      <c r="D1445" s="879">
        <v>550</v>
      </c>
      <c r="E1445" s="881">
        <f>B1445*D1445</f>
        <v>3666.666666666667</v>
      </c>
    </row>
    <row r="1446" spans="1:6" ht="13.5" thickBot="1" x14ac:dyDescent="0.25">
      <c r="A1446" s="882"/>
      <c r="B1446" s="883"/>
      <c r="C1446" s="883"/>
      <c r="D1446" s="884"/>
      <c r="E1446" s="885">
        <f>ROUND(SUM(E1442:E1445),2)</f>
        <v>16659.810000000001</v>
      </c>
    </row>
    <row r="1447" spans="1:6" ht="13.5" thickTop="1" x14ac:dyDescent="0.2">
      <c r="A1447" s="886"/>
      <c r="B1447" s="872"/>
      <c r="C1447" s="872"/>
      <c r="D1447" s="872"/>
      <c r="E1447" s="872"/>
    </row>
    <row r="1448" spans="1:6" ht="13.5" thickBot="1" x14ac:dyDescent="0.25">
      <c r="A1448" s="871" t="s">
        <v>617</v>
      </c>
      <c r="B1448" s="873"/>
      <c r="C1448" s="873"/>
      <c r="D1448" s="873"/>
      <c r="E1448" s="873"/>
    </row>
    <row r="1449" spans="1:6" ht="13.5" thickTop="1" x14ac:dyDescent="0.2">
      <c r="A1449" s="874" t="s">
        <v>389</v>
      </c>
      <c r="B1449" s="875">
        <v>1.05</v>
      </c>
      <c r="C1449" s="876" t="s">
        <v>10</v>
      </c>
      <c r="D1449" s="875">
        <f>+D1443</f>
        <v>4783.0078000000003</v>
      </c>
      <c r="E1449" s="877">
        <f>B1449*D1449</f>
        <v>5022.1581900000001</v>
      </c>
    </row>
    <row r="1450" spans="1:6" x14ac:dyDescent="0.2">
      <c r="A1450" s="878" t="s">
        <v>249</v>
      </c>
      <c r="B1450" s="879">
        <v>1.27</v>
      </c>
      <c r="C1450" s="880" t="s">
        <v>122</v>
      </c>
      <c r="D1450" s="879">
        <f>+D1444</f>
        <v>2358.2800000000002</v>
      </c>
      <c r="E1450" s="881">
        <f>B1450*D1450</f>
        <v>2995.0156000000002</v>
      </c>
    </row>
    <row r="1451" spans="1:6" x14ac:dyDescent="0.2">
      <c r="A1451" s="878" t="s">
        <v>281</v>
      </c>
      <c r="B1451" s="879">
        <f>1/0.12</f>
        <v>8.3333333333333339</v>
      </c>
      <c r="C1451" s="887" t="s">
        <v>16</v>
      </c>
      <c r="D1451" s="879">
        <v>185</v>
      </c>
      <c r="E1451" s="881">
        <f>B1451*D1451</f>
        <v>1541.6666666666667</v>
      </c>
      <c r="F1451" s="1025">
        <f>1/0.12</f>
        <v>8.3333333333333339</v>
      </c>
    </row>
    <row r="1452" spans="1:6" ht="13.5" thickBot="1" x14ac:dyDescent="0.25">
      <c r="A1452" s="882"/>
      <c r="B1452" s="883"/>
      <c r="C1452" s="883"/>
      <c r="D1452" s="884"/>
      <c r="E1452" s="885">
        <f>ROUND(SUM(E1448:E1451),2)</f>
        <v>9558.84</v>
      </c>
    </row>
    <row r="1453" spans="1:6" ht="13.5" thickTop="1" x14ac:dyDescent="0.2">
      <c r="A1453" s="886"/>
      <c r="B1453" s="872"/>
      <c r="C1453" s="872"/>
      <c r="D1453" s="888"/>
      <c r="E1453" s="888"/>
    </row>
    <row r="1454" spans="1:6" ht="13.5" thickBot="1" x14ac:dyDescent="0.25">
      <c r="A1454" s="889" t="s">
        <v>438</v>
      </c>
      <c r="B1454" s="890"/>
      <c r="C1454" s="890"/>
      <c r="D1454" s="891"/>
      <c r="E1454" s="891"/>
    </row>
    <row r="1455" spans="1:6" ht="13.5" thickTop="1" x14ac:dyDescent="0.2">
      <c r="A1455" s="874" t="s">
        <v>439</v>
      </c>
      <c r="B1455" s="892">
        <v>4.5999999999999996</v>
      </c>
      <c r="C1455" s="893" t="s">
        <v>24</v>
      </c>
      <c r="D1455" s="892">
        <f>+E969</f>
        <v>26.63</v>
      </c>
      <c r="E1455" s="894">
        <f>B1455*D1455</f>
        <v>122.49799999999999</v>
      </c>
    </row>
    <row r="1456" spans="1:6" x14ac:dyDescent="0.2">
      <c r="A1456" s="895" t="s">
        <v>440</v>
      </c>
      <c r="B1456" s="896">
        <v>1</v>
      </c>
      <c r="C1456" s="897" t="s">
        <v>10</v>
      </c>
      <c r="D1456" s="898">
        <v>450</v>
      </c>
      <c r="E1456" s="894">
        <f>B1456*D1456</f>
        <v>450</v>
      </c>
    </row>
    <row r="1457" spans="1:5" x14ac:dyDescent="0.2">
      <c r="A1457" s="878" t="s">
        <v>118</v>
      </c>
      <c r="B1457" s="899">
        <v>0.4</v>
      </c>
      <c r="C1457" s="900" t="s">
        <v>10</v>
      </c>
      <c r="D1457" s="898">
        <f>E981</f>
        <v>424.8</v>
      </c>
      <c r="E1457" s="894">
        <f>B1457*D1457</f>
        <v>169.92000000000002</v>
      </c>
    </row>
    <row r="1458" spans="1:5" x14ac:dyDescent="0.2">
      <c r="A1458" s="878" t="s">
        <v>114</v>
      </c>
      <c r="B1458" s="899">
        <v>27.62</v>
      </c>
      <c r="C1458" s="901" t="s">
        <v>23</v>
      </c>
      <c r="D1458" s="899">
        <v>1</v>
      </c>
      <c r="E1458" s="894">
        <f>B1458*D1458</f>
        <v>27.62</v>
      </c>
    </row>
    <row r="1459" spans="1:5" x14ac:dyDescent="0.2">
      <c r="A1459" s="878" t="s">
        <v>441</v>
      </c>
      <c r="B1459" s="899">
        <v>1</v>
      </c>
      <c r="C1459" s="901" t="s">
        <v>43</v>
      </c>
      <c r="D1459" s="899">
        <v>50</v>
      </c>
      <c r="E1459" s="894">
        <f>B1459*D1459</f>
        <v>50</v>
      </c>
    </row>
    <row r="1460" spans="1:5" x14ac:dyDescent="0.2">
      <c r="A1460" s="902"/>
      <c r="B1460" s="899"/>
      <c r="C1460" s="901"/>
      <c r="D1460" s="899"/>
      <c r="E1460" s="894"/>
    </row>
    <row r="1461" spans="1:5" x14ac:dyDescent="0.2">
      <c r="A1461" s="903" t="s">
        <v>159</v>
      </c>
      <c r="B1461" s="899"/>
      <c r="C1461" s="904"/>
      <c r="D1461" s="899"/>
      <c r="E1461" s="894"/>
    </row>
    <row r="1462" spans="1:5" x14ac:dyDescent="0.2">
      <c r="A1462" s="902" t="s">
        <v>442</v>
      </c>
      <c r="B1462" s="905">
        <v>1</v>
      </c>
      <c r="C1462" s="906" t="s">
        <v>10</v>
      </c>
      <c r="D1462" s="905">
        <v>280</v>
      </c>
      <c r="E1462" s="894">
        <f>B1462*D1462</f>
        <v>280</v>
      </c>
    </row>
    <row r="1463" spans="1:5" ht="13.5" thickBot="1" x14ac:dyDescent="0.25">
      <c r="A1463" s="902" t="s">
        <v>443</v>
      </c>
      <c r="B1463" s="905">
        <v>0.2</v>
      </c>
      <c r="C1463" s="906" t="s">
        <v>10</v>
      </c>
      <c r="D1463" s="905">
        <v>260</v>
      </c>
      <c r="E1463" s="907">
        <f>B1463*D1463</f>
        <v>52</v>
      </c>
    </row>
    <row r="1464" spans="1:5" ht="14.25" thickTop="1" thickBot="1" x14ac:dyDescent="0.25">
      <c r="A1464" s="908"/>
      <c r="B1464" s="909"/>
      <c r="C1464" s="909"/>
      <c r="D1464" s="910" t="s">
        <v>140</v>
      </c>
      <c r="E1464" s="911">
        <f>SUM(E1455:E1463)</f>
        <v>1152.038</v>
      </c>
    </row>
    <row r="1465" spans="1:5" ht="13.5" thickTop="1" x14ac:dyDescent="0.2">
      <c r="A1465" s="871" t="s">
        <v>444</v>
      </c>
      <c r="B1465" s="890">
        <v>0.2</v>
      </c>
      <c r="C1465" s="912" t="s">
        <v>445</v>
      </c>
      <c r="D1465" s="891">
        <f>E1464</f>
        <v>1152.038</v>
      </c>
      <c r="E1465" s="913">
        <f>ROUND(B1465*D1465,2)</f>
        <v>230.41</v>
      </c>
    </row>
    <row r="1467" spans="1:5" x14ac:dyDescent="0.2">
      <c r="A1467" s="995"/>
      <c r="B1467" s="995"/>
      <c r="C1467" s="995"/>
      <c r="D1467" s="995"/>
      <c r="E1467" s="995"/>
    </row>
    <row r="1468" spans="1:5" x14ac:dyDescent="0.2">
      <c r="A1468" s="996" t="s">
        <v>665</v>
      </c>
      <c r="B1468" s="997">
        <v>1.98</v>
      </c>
      <c r="C1468" s="693" t="s">
        <v>666</v>
      </c>
      <c r="D1468" s="998"/>
      <c r="E1468" s="998"/>
    </row>
    <row r="1469" spans="1:5" x14ac:dyDescent="0.2">
      <c r="A1469" s="999" t="s">
        <v>667</v>
      </c>
      <c r="B1469" s="1000"/>
      <c r="C1469" s="989"/>
      <c r="D1469" s="720"/>
      <c r="E1469" s="720"/>
    </row>
    <row r="1470" spans="1:5" x14ac:dyDescent="0.2">
      <c r="A1470" s="720" t="s">
        <v>508</v>
      </c>
      <c r="B1470" s="720">
        <v>1.05</v>
      </c>
      <c r="C1470" s="1001" t="s">
        <v>10</v>
      </c>
      <c r="D1470" s="1002">
        <f>E1179</f>
        <v>8396.8799999999992</v>
      </c>
      <c r="E1470" s="1003">
        <f>B1470*D1470</f>
        <v>8816.7240000000002</v>
      </c>
    </row>
    <row r="1471" spans="1:5" x14ac:dyDescent="0.2">
      <c r="A1471" s="720" t="s">
        <v>249</v>
      </c>
      <c r="B1471" s="721">
        <v>1.98</v>
      </c>
      <c r="C1471" s="1001" t="s">
        <v>122</v>
      </c>
      <c r="D1471" s="1002">
        <f>+D924</f>
        <v>2522.86</v>
      </c>
      <c r="E1471" s="1003">
        <f>B1471*D1471</f>
        <v>4995.2628000000004</v>
      </c>
    </row>
    <row r="1472" spans="1:5" x14ac:dyDescent="0.2">
      <c r="A1472" s="720"/>
      <c r="B1472" s="720"/>
      <c r="C1472" s="720"/>
      <c r="D1472" s="1004" t="s">
        <v>668</v>
      </c>
      <c r="E1472" s="1005">
        <f>SUM(E1470:E1471)</f>
        <v>13811.986800000001</v>
      </c>
    </row>
    <row r="1473" spans="1:5" x14ac:dyDescent="0.2">
      <c r="A1473" s="1006"/>
      <c r="B1473" s="1006"/>
      <c r="C1473" s="1006"/>
      <c r="D1473" s="1007"/>
      <c r="E1473" s="1008"/>
    </row>
    <row r="1474" spans="1:5" x14ac:dyDescent="0.2">
      <c r="A1474" s="999" t="s">
        <v>669</v>
      </c>
      <c r="B1474" s="1000"/>
      <c r="C1474" s="989"/>
      <c r="D1474" s="720"/>
      <c r="E1474" s="1009"/>
    </row>
    <row r="1475" spans="1:5" x14ac:dyDescent="0.2">
      <c r="A1475" s="720" t="s">
        <v>670</v>
      </c>
      <c r="B1475" s="721">
        <v>1</v>
      </c>
      <c r="C1475" s="1001" t="s">
        <v>24</v>
      </c>
      <c r="D1475" s="1010">
        <v>600</v>
      </c>
      <c r="E1475" s="1003">
        <f>B1475*D1475</f>
        <v>600</v>
      </c>
    </row>
    <row r="1476" spans="1:5" x14ac:dyDescent="0.2">
      <c r="A1476" s="720" t="s">
        <v>671</v>
      </c>
      <c r="B1476" s="721">
        <v>1</v>
      </c>
      <c r="C1476" s="1001" t="s">
        <v>202</v>
      </c>
      <c r="D1476" s="1011">
        <v>45</v>
      </c>
      <c r="E1476" s="1003">
        <f t="shared" ref="E1476:E1477" si="27">B1476*D1476</f>
        <v>45</v>
      </c>
    </row>
    <row r="1477" spans="1:5" x14ac:dyDescent="0.2">
      <c r="A1477" s="720" t="s">
        <v>38</v>
      </c>
      <c r="B1477" s="1012">
        <v>1</v>
      </c>
      <c r="C1477" s="719" t="s">
        <v>672</v>
      </c>
      <c r="D1477" s="1003">
        <v>500</v>
      </c>
      <c r="E1477" s="1003">
        <f t="shared" si="27"/>
        <v>500</v>
      </c>
    </row>
    <row r="1478" spans="1:5" x14ac:dyDescent="0.2">
      <c r="A1478" s="720"/>
      <c r="B1478" s="720"/>
      <c r="C1478" s="720"/>
      <c r="D1478" s="1004" t="s">
        <v>673</v>
      </c>
      <c r="E1478" s="1005">
        <f>SUM(E1475:E1477)</f>
        <v>1145</v>
      </c>
    </row>
    <row r="1479" spans="1:5" x14ac:dyDescent="0.2">
      <c r="A1479" s="720"/>
      <c r="B1479" s="1013"/>
      <c r="C1479" s="1013"/>
      <c r="D1479" s="1013"/>
      <c r="E1479" s="1014"/>
    </row>
    <row r="1480" spans="1:5" x14ac:dyDescent="0.2">
      <c r="A1480" s="720"/>
      <c r="B1480" s="1603" t="s">
        <v>674</v>
      </c>
      <c r="C1480" s="1604"/>
      <c r="D1480" s="1605"/>
      <c r="E1480" s="1005">
        <f>+E1472+E1478</f>
        <v>14956.986800000001</v>
      </c>
    </row>
    <row r="1481" spans="1:5" x14ac:dyDescent="0.2">
      <c r="A1481" s="998"/>
      <c r="B1481" s="998"/>
      <c r="C1481" s="998"/>
      <c r="D1481" s="998"/>
      <c r="E1481" s="998"/>
    </row>
    <row r="1482" spans="1:5" x14ac:dyDescent="0.2">
      <c r="A1482" s="1016" t="s">
        <v>623</v>
      </c>
      <c r="B1482" s="1017"/>
      <c r="C1482" s="1017"/>
      <c r="D1482" s="1018"/>
      <c r="E1482" s="1019"/>
    </row>
    <row r="1483" spans="1:5" ht="13.5" thickBot="1" x14ac:dyDescent="0.25">
      <c r="A1483" s="917" t="s">
        <v>624</v>
      </c>
      <c r="B1483" s="557"/>
      <c r="C1483" s="557"/>
      <c r="D1483" s="557"/>
      <c r="E1483" s="557"/>
    </row>
    <row r="1484" spans="1:5" ht="13.5" thickTop="1" x14ac:dyDescent="0.2">
      <c r="A1484" s="918" t="s">
        <v>389</v>
      </c>
      <c r="B1484" s="919">
        <v>1.05</v>
      </c>
      <c r="C1484" s="920" t="s">
        <v>10</v>
      </c>
      <c r="D1484" s="921">
        <f>+E968</f>
        <v>2592.2600000000002</v>
      </c>
      <c r="E1484" s="922">
        <f>B1484*D1484</f>
        <v>2721.8730000000005</v>
      </c>
    </row>
    <row r="1485" spans="1:5" x14ac:dyDescent="0.2">
      <c r="A1485" s="923" t="s">
        <v>249</v>
      </c>
      <c r="B1485" s="835">
        <v>0.81</v>
      </c>
      <c r="C1485" s="924" t="s">
        <v>122</v>
      </c>
      <c r="D1485" s="925">
        <f>+E1116</f>
        <v>6668.22</v>
      </c>
      <c r="E1485" s="926">
        <f>B1485*D1485</f>
        <v>5401.2582000000002</v>
      </c>
    </row>
    <row r="1486" spans="1:5" ht="13.5" thickBot="1" x14ac:dyDescent="0.25">
      <c r="A1486" s="927"/>
      <c r="B1486" s="928"/>
      <c r="C1486" s="928"/>
      <c r="D1486" s="929" t="s">
        <v>140</v>
      </c>
      <c r="E1486" s="930">
        <f>ROUND(SUM(E1483:E1485),2)</f>
        <v>8123.13</v>
      </c>
    </row>
    <row r="1487" spans="1:5" ht="13.5" thickTop="1" x14ac:dyDescent="0.2">
      <c r="A1487" s="931"/>
      <c r="B1487" s="931"/>
      <c r="C1487" s="931"/>
      <c r="D1487" s="931"/>
      <c r="E1487" s="931"/>
    </row>
    <row r="1488" spans="1:5" ht="13.5" thickBot="1" x14ac:dyDescent="0.25">
      <c r="A1488" s="932" t="s">
        <v>625</v>
      </c>
      <c r="B1488" s="557"/>
      <c r="C1488" s="557"/>
      <c r="D1488" s="557"/>
      <c r="E1488" s="557"/>
    </row>
    <row r="1489" spans="1:5" ht="13.5" thickTop="1" x14ac:dyDescent="0.2">
      <c r="A1489" s="918" t="s">
        <v>389</v>
      </c>
      <c r="B1489" s="919">
        <v>1.05</v>
      </c>
      <c r="C1489" s="920" t="s">
        <v>10</v>
      </c>
      <c r="D1489" s="921">
        <f>D1484</f>
        <v>2592.2600000000002</v>
      </c>
      <c r="E1489" s="922">
        <f>B1489*D1489</f>
        <v>2721.8730000000005</v>
      </c>
    </row>
    <row r="1490" spans="1:5" x14ac:dyDescent="0.2">
      <c r="A1490" s="923" t="s">
        <v>249</v>
      </c>
      <c r="B1490" s="835">
        <v>1.22</v>
      </c>
      <c r="C1490" s="924" t="s">
        <v>122</v>
      </c>
      <c r="D1490" s="925">
        <f>+D1485</f>
        <v>6668.22</v>
      </c>
      <c r="E1490" s="926">
        <f>B1490*D1490</f>
        <v>8135.2284</v>
      </c>
    </row>
    <row r="1491" spans="1:5" ht="13.5" thickBot="1" x14ac:dyDescent="0.25">
      <c r="A1491" s="927"/>
      <c r="B1491" s="928"/>
      <c r="C1491" s="928"/>
      <c r="D1491" s="929" t="s">
        <v>140</v>
      </c>
      <c r="E1491" s="930">
        <f>ROUND(SUM(E1488:E1490),2)</f>
        <v>10857.1</v>
      </c>
    </row>
    <row r="1492" spans="1:5" ht="13.5" thickTop="1" x14ac:dyDescent="0.2">
      <c r="A1492" s="933"/>
      <c r="B1492" s="931"/>
      <c r="C1492" s="931"/>
      <c r="D1492" s="931"/>
      <c r="E1492" s="931"/>
    </row>
    <row r="1493" spans="1:5" ht="13.5" thickBot="1" x14ac:dyDescent="0.25">
      <c r="A1493" s="932" t="s">
        <v>626</v>
      </c>
      <c r="B1493" s="557"/>
      <c r="C1493" s="557"/>
      <c r="D1493" s="557"/>
      <c r="E1493" s="557"/>
    </row>
    <row r="1494" spans="1:5" ht="13.5" thickTop="1" x14ac:dyDescent="0.2">
      <c r="A1494" s="918" t="s">
        <v>389</v>
      </c>
      <c r="B1494" s="919">
        <v>1.05</v>
      </c>
      <c r="C1494" s="920" t="s">
        <v>10</v>
      </c>
      <c r="D1494" s="921">
        <f>D1489</f>
        <v>2592.2600000000002</v>
      </c>
      <c r="E1494" s="922">
        <f>B1494*D1494</f>
        <v>2721.8730000000005</v>
      </c>
    </row>
    <row r="1495" spans="1:5" x14ac:dyDescent="0.2">
      <c r="A1495" s="923" t="s">
        <v>249</v>
      </c>
      <c r="B1495" s="830">
        <v>4.57</v>
      </c>
      <c r="C1495" s="924" t="s">
        <v>122</v>
      </c>
      <c r="D1495" s="925">
        <f>+D1490</f>
        <v>6668.22</v>
      </c>
      <c r="E1495" s="926">
        <f>B1495*D1495</f>
        <v>30473.765400000004</v>
      </c>
    </row>
    <row r="1496" spans="1:5" x14ac:dyDescent="0.2">
      <c r="A1496" s="923" t="s">
        <v>281</v>
      </c>
      <c r="B1496" s="835">
        <f>1/0.15*0.15</f>
        <v>1</v>
      </c>
      <c r="C1496" s="832" t="s">
        <v>15</v>
      </c>
      <c r="D1496" s="925">
        <v>275</v>
      </c>
      <c r="E1496" s="926">
        <f>B1496*D1496</f>
        <v>275</v>
      </c>
    </row>
    <row r="1497" spans="1:5" ht="13.5" thickBot="1" x14ac:dyDescent="0.25">
      <c r="A1497" s="927"/>
      <c r="B1497" s="928"/>
      <c r="C1497" s="928"/>
      <c r="D1497" s="929" t="s">
        <v>140</v>
      </c>
      <c r="E1497" s="930">
        <f>ROUND(SUM(E1494:E1496),2)</f>
        <v>33470.639999999999</v>
      </c>
    </row>
    <row r="1498" spans="1:5" ht="13.5" thickTop="1" x14ac:dyDescent="0.2">
      <c r="A1498" s="934"/>
      <c r="B1498" s="934"/>
      <c r="C1498" s="934"/>
      <c r="D1498" s="934"/>
      <c r="E1498" s="934"/>
    </row>
    <row r="1499" spans="1:5" ht="13.5" thickBot="1" x14ac:dyDescent="0.25">
      <c r="A1499" s="932" t="s">
        <v>627</v>
      </c>
      <c r="B1499" s="935"/>
      <c r="C1499" s="935"/>
      <c r="D1499" s="935"/>
      <c r="E1499" s="935"/>
    </row>
    <row r="1500" spans="1:5" ht="13.5" thickTop="1" x14ac:dyDescent="0.2">
      <c r="A1500" s="936" t="s">
        <v>389</v>
      </c>
      <c r="B1500" s="937">
        <v>1.05</v>
      </c>
      <c r="C1500" s="938" t="s">
        <v>10</v>
      </c>
      <c r="D1500" s="939">
        <f>D1514</f>
        <v>2592.2600000000002</v>
      </c>
      <c r="E1500" s="940">
        <f>B1500*D1500</f>
        <v>2721.8730000000005</v>
      </c>
    </row>
    <row r="1501" spans="1:5" x14ac:dyDescent="0.2">
      <c r="A1501" s="923" t="s">
        <v>628</v>
      </c>
      <c r="B1501" s="830">
        <v>1.04</v>
      </c>
      <c r="C1501" s="832" t="s">
        <v>122</v>
      </c>
      <c r="D1501" s="925">
        <f>D1515</f>
        <v>6668.22</v>
      </c>
      <c r="E1501" s="926">
        <f>B1501*D1501</f>
        <v>6934.9488000000001</v>
      </c>
    </row>
    <row r="1502" spans="1:5" x14ac:dyDescent="0.2">
      <c r="A1502" s="923" t="s">
        <v>629</v>
      </c>
      <c r="B1502" s="835">
        <f>1/0.1</f>
        <v>10</v>
      </c>
      <c r="C1502" s="832" t="s">
        <v>16</v>
      </c>
      <c r="D1502" s="925">
        <v>350</v>
      </c>
      <c r="E1502" s="926">
        <f>B1502*D1502</f>
        <v>3500</v>
      </c>
    </row>
    <row r="1503" spans="1:5" ht="13.5" thickBot="1" x14ac:dyDescent="0.25">
      <c r="A1503" s="927"/>
      <c r="B1503" s="928"/>
      <c r="C1503" s="928"/>
      <c r="D1503" s="929" t="s">
        <v>140</v>
      </c>
      <c r="E1503" s="930">
        <f>ROUND(SUM(E1500:E1502),2)</f>
        <v>13156.82</v>
      </c>
    </row>
    <row r="1504" spans="1:5" ht="13.5" thickTop="1" x14ac:dyDescent="0.2">
      <c r="A1504" s="931"/>
      <c r="B1504" s="931"/>
      <c r="C1504" s="931"/>
      <c r="D1504" s="931"/>
      <c r="E1504" s="931"/>
    </row>
    <row r="1505" spans="1:5" x14ac:dyDescent="0.2">
      <c r="A1505" s="931"/>
      <c r="B1505" s="931"/>
      <c r="C1505" s="931"/>
      <c r="D1505" s="931"/>
      <c r="E1505" s="931"/>
    </row>
    <row r="1506" spans="1:5" x14ac:dyDescent="0.2">
      <c r="A1506" s="931"/>
      <c r="B1506" s="931"/>
      <c r="C1506" s="931"/>
      <c r="D1506" s="931"/>
      <c r="E1506" s="931"/>
    </row>
    <row r="1507" spans="1:5" ht="13.5" thickBot="1" x14ac:dyDescent="0.25">
      <c r="A1507" s="917" t="s">
        <v>630</v>
      </c>
      <c r="B1507" s="557"/>
      <c r="C1507" s="557"/>
      <c r="D1507" s="557"/>
      <c r="E1507" s="557"/>
    </row>
    <row r="1508" spans="1:5" ht="13.5" thickTop="1" x14ac:dyDescent="0.2">
      <c r="A1508" s="918" t="s">
        <v>389</v>
      </c>
      <c r="B1508" s="919">
        <v>1.05</v>
      </c>
      <c r="C1508" s="920" t="s">
        <v>10</v>
      </c>
      <c r="D1508" s="921">
        <f>D1494</f>
        <v>2592.2600000000002</v>
      </c>
      <c r="E1508" s="922">
        <f>B1508*D1508</f>
        <v>2721.8730000000005</v>
      </c>
    </row>
    <row r="1509" spans="1:5" x14ac:dyDescent="0.2">
      <c r="A1509" s="923" t="s">
        <v>249</v>
      </c>
      <c r="B1509" s="830">
        <v>4.76</v>
      </c>
      <c r="C1509" s="924" t="s">
        <v>122</v>
      </c>
      <c r="D1509" s="925">
        <f>D1495</f>
        <v>6668.22</v>
      </c>
      <c r="E1509" s="926">
        <f>B1509*D1509</f>
        <v>31740.727200000001</v>
      </c>
    </row>
    <row r="1510" spans="1:5" x14ac:dyDescent="0.2">
      <c r="A1510" s="923" t="s">
        <v>281</v>
      </c>
      <c r="B1510" s="835"/>
      <c r="C1510" s="832" t="s">
        <v>15</v>
      </c>
      <c r="D1510" s="925">
        <v>275</v>
      </c>
      <c r="E1510" s="926">
        <f>B1510*D1510</f>
        <v>0</v>
      </c>
    </row>
    <row r="1511" spans="1:5" ht="13.5" thickBot="1" x14ac:dyDescent="0.25">
      <c r="A1511" s="927"/>
      <c r="B1511" s="928"/>
      <c r="C1511" s="928"/>
      <c r="D1511" s="929" t="s">
        <v>140</v>
      </c>
      <c r="E1511" s="930">
        <f>ROUND(SUM(E1508:E1510),2)</f>
        <v>34462.6</v>
      </c>
    </row>
    <row r="1512" spans="1:5" ht="13.5" thickTop="1" x14ac:dyDescent="0.2">
      <c r="A1512" s="931"/>
      <c r="B1512" s="931"/>
      <c r="C1512" s="931"/>
      <c r="D1512" s="931"/>
      <c r="E1512" s="931"/>
    </row>
    <row r="1513" spans="1:5" ht="13.5" thickBot="1" x14ac:dyDescent="0.25">
      <c r="A1513" s="917" t="s">
        <v>631</v>
      </c>
      <c r="B1513" s="557"/>
      <c r="C1513" s="557"/>
      <c r="D1513" s="557"/>
      <c r="E1513" s="557"/>
    </row>
    <row r="1514" spans="1:5" ht="13.5" thickTop="1" x14ac:dyDescent="0.2">
      <c r="A1514" s="918" t="s">
        <v>389</v>
      </c>
      <c r="B1514" s="919">
        <v>1.05</v>
      </c>
      <c r="C1514" s="920" t="s">
        <v>10</v>
      </c>
      <c r="D1514" s="921">
        <f>D1508</f>
        <v>2592.2600000000002</v>
      </c>
      <c r="E1514" s="922">
        <f>B1514*D1514</f>
        <v>2721.8730000000005</v>
      </c>
    </row>
    <row r="1515" spans="1:5" x14ac:dyDescent="0.2">
      <c r="A1515" s="923" t="s">
        <v>628</v>
      </c>
      <c r="B1515" s="830">
        <v>7.62</v>
      </c>
      <c r="C1515" s="832" t="s">
        <v>122</v>
      </c>
      <c r="D1515" s="925">
        <f>D1509</f>
        <v>6668.22</v>
      </c>
      <c r="E1515" s="926">
        <f>B1515*D1515</f>
        <v>50811.8364</v>
      </c>
    </row>
    <row r="1516" spans="1:5" x14ac:dyDescent="0.2">
      <c r="A1516" s="941" t="s">
        <v>629</v>
      </c>
      <c r="B1516" s="942" t="e">
        <f>F1513/(G1513*H1513)</f>
        <v>#DIV/0!</v>
      </c>
      <c r="C1516" s="943" t="s">
        <v>15</v>
      </c>
      <c r="D1516" s="944">
        <v>125</v>
      </c>
      <c r="E1516" s="945" t="e">
        <f>B1516*D1516</f>
        <v>#DIV/0!</v>
      </c>
    </row>
    <row r="1517" spans="1:5" ht="13.5" thickBot="1" x14ac:dyDescent="0.25">
      <c r="A1517" s="946"/>
      <c r="B1517" s="947"/>
      <c r="C1517" s="947"/>
      <c r="D1517" s="438" t="s">
        <v>140</v>
      </c>
      <c r="E1517" s="948" t="e">
        <f>ROUND(SUM(E1514:E1516),2)</f>
        <v>#DIV/0!</v>
      </c>
    </row>
    <row r="1518" spans="1:5" ht="13.5" thickTop="1" x14ac:dyDescent="0.2">
      <c r="A1518" s="949"/>
      <c r="B1518" s="949"/>
      <c r="C1518" s="949"/>
      <c r="D1518" s="949"/>
      <c r="E1518" s="949"/>
    </row>
    <row r="1519" spans="1:5" x14ac:dyDescent="0.2">
      <c r="A1519" s="620" t="s">
        <v>632</v>
      </c>
      <c r="B1519" s="488">
        <v>3.4</v>
      </c>
      <c r="C1519" s="489" t="s">
        <v>8</v>
      </c>
      <c r="D1519" s="14"/>
      <c r="E1519" s="14"/>
    </row>
    <row r="1520" spans="1:5" x14ac:dyDescent="0.2">
      <c r="A1520" s="950" t="s">
        <v>395</v>
      </c>
      <c r="B1520" s="494">
        <v>3.4</v>
      </c>
      <c r="C1520" s="495" t="s">
        <v>8</v>
      </c>
      <c r="D1520" s="494">
        <v>110</v>
      </c>
      <c r="E1520" s="951">
        <f>SUM(D1520*B1520)</f>
        <v>374</v>
      </c>
    </row>
    <row r="1521" spans="1:5" x14ac:dyDescent="0.2">
      <c r="A1521" s="950" t="s">
        <v>396</v>
      </c>
      <c r="B1521" s="494">
        <v>0.3</v>
      </c>
      <c r="C1521" s="495" t="s">
        <v>151</v>
      </c>
      <c r="D1521" s="494">
        <v>5890</v>
      </c>
      <c r="E1521" s="951">
        <f>SUM(D1521*B1521)</f>
        <v>1767</v>
      </c>
    </row>
    <row r="1522" spans="1:5" x14ac:dyDescent="0.2">
      <c r="A1522" s="950" t="s">
        <v>397</v>
      </c>
      <c r="B1522" s="494">
        <v>0.3</v>
      </c>
      <c r="C1522" s="495" t="s">
        <v>151</v>
      </c>
      <c r="D1522" s="494">
        <v>5820</v>
      </c>
      <c r="E1522" s="951">
        <f>SUM(D1522*B1522)</f>
        <v>1746</v>
      </c>
    </row>
    <row r="1523" spans="1:5" x14ac:dyDescent="0.2">
      <c r="A1523" s="950" t="s">
        <v>398</v>
      </c>
      <c r="B1523" s="494">
        <v>0.41</v>
      </c>
      <c r="C1523" s="495" t="s">
        <v>16</v>
      </c>
      <c r="D1523" s="494">
        <v>94.7</v>
      </c>
      <c r="E1523" s="951">
        <f>SUM(D1523*B1523)</f>
        <v>38.826999999999998</v>
      </c>
    </row>
    <row r="1524" spans="1:5" x14ac:dyDescent="0.2">
      <c r="A1524" s="950" t="s">
        <v>399</v>
      </c>
      <c r="B1524" s="494">
        <v>0.41</v>
      </c>
      <c r="C1524" s="495" t="s">
        <v>16</v>
      </c>
      <c r="D1524" s="494">
        <v>105.05</v>
      </c>
      <c r="E1524" s="951">
        <f>SUM(D1524*B1524)</f>
        <v>43.070499999999996</v>
      </c>
    </row>
    <row r="1525" spans="1:5" x14ac:dyDescent="0.2">
      <c r="A1525" s="950"/>
      <c r="B1525" s="494"/>
      <c r="C1525" s="1594" t="s">
        <v>400</v>
      </c>
      <c r="D1525" s="1595"/>
      <c r="E1525" s="597">
        <f>SUM(E1520:E1524)</f>
        <v>3968.8975</v>
      </c>
    </row>
    <row r="1526" spans="1:5" ht="13.5" thickBot="1" x14ac:dyDescent="0.25"/>
    <row r="1527" spans="1:5" x14ac:dyDescent="0.2">
      <c r="A1527" s="1244" t="s">
        <v>788</v>
      </c>
      <c r="B1527" s="1245"/>
      <c r="C1527" s="1246">
        <v>6</v>
      </c>
      <c r="D1527" s="1245"/>
      <c r="E1527" s="1247"/>
    </row>
    <row r="1528" spans="1:5" x14ac:dyDescent="0.2">
      <c r="A1528" s="1248" t="s">
        <v>789</v>
      </c>
      <c r="B1528" s="1249"/>
      <c r="C1528" s="1250"/>
      <c r="D1528" s="1249"/>
      <c r="E1528" s="1251"/>
    </row>
    <row r="1529" spans="1:5" x14ac:dyDescent="0.2">
      <c r="A1529" s="1252" t="s">
        <v>790</v>
      </c>
      <c r="B1529" s="1249">
        <v>1</v>
      </c>
      <c r="C1529" s="1250" t="s">
        <v>24</v>
      </c>
      <c r="D1529" s="1253">
        <v>46438.32</v>
      </c>
      <c r="E1529" s="1254">
        <f t="shared" ref="E1529:E1535" si="28">ROUND(B1529*D1529,2)</f>
        <v>46438.32</v>
      </c>
    </row>
    <row r="1530" spans="1:5" x14ac:dyDescent="0.2">
      <c r="A1530" s="1252" t="s">
        <v>791</v>
      </c>
      <c r="B1530" s="1249">
        <v>1</v>
      </c>
      <c r="C1530" s="1250" t="s">
        <v>14</v>
      </c>
      <c r="D1530" s="1253">
        <v>1350</v>
      </c>
      <c r="E1530" s="1254">
        <f t="shared" si="28"/>
        <v>1350</v>
      </c>
    </row>
    <row r="1531" spans="1:5" x14ac:dyDescent="0.2">
      <c r="A1531" s="1252" t="s">
        <v>792</v>
      </c>
      <c r="B1531" s="1249">
        <v>2</v>
      </c>
      <c r="C1531" s="1250" t="s">
        <v>24</v>
      </c>
      <c r="D1531" s="1249">
        <v>3065.44</v>
      </c>
      <c r="E1531" s="1254">
        <f t="shared" si="28"/>
        <v>6130.88</v>
      </c>
    </row>
    <row r="1532" spans="1:5" x14ac:dyDescent="0.2">
      <c r="A1532" s="1252" t="s">
        <v>793</v>
      </c>
      <c r="B1532" s="1249">
        <v>1</v>
      </c>
      <c r="C1532" s="1250" t="s">
        <v>24</v>
      </c>
      <c r="D1532" s="1249">
        <v>1325</v>
      </c>
      <c r="E1532" s="1254">
        <f t="shared" si="28"/>
        <v>1325</v>
      </c>
    </row>
    <row r="1533" spans="1:5" x14ac:dyDescent="0.2">
      <c r="A1533" s="1255" t="s">
        <v>794</v>
      </c>
      <c r="B1533" s="1253">
        <v>2</v>
      </c>
      <c r="C1533" s="1256" t="s">
        <v>24</v>
      </c>
      <c r="D1533" s="1253">
        <v>2192.2399999999998</v>
      </c>
      <c r="E1533" s="1254">
        <f t="shared" si="28"/>
        <v>4384.4799999999996</v>
      </c>
    </row>
    <row r="1534" spans="1:5" x14ac:dyDescent="0.2">
      <c r="A1534" s="1252" t="s">
        <v>795</v>
      </c>
      <c r="B1534" s="1249">
        <v>1</v>
      </c>
      <c r="C1534" s="1250" t="s">
        <v>14</v>
      </c>
      <c r="D1534" s="1249">
        <v>1200</v>
      </c>
      <c r="E1534" s="1254">
        <f t="shared" si="28"/>
        <v>1200</v>
      </c>
    </row>
    <row r="1535" spans="1:5" x14ac:dyDescent="0.2">
      <c r="A1535" s="1252" t="s">
        <v>796</v>
      </c>
      <c r="B1535" s="1249">
        <v>1</v>
      </c>
      <c r="C1535" s="1250" t="s">
        <v>24</v>
      </c>
      <c r="D1535" s="1253">
        <v>6557.53</v>
      </c>
      <c r="E1535" s="1254">
        <f t="shared" si="28"/>
        <v>6557.53</v>
      </c>
    </row>
    <row r="1536" spans="1:5" x14ac:dyDescent="0.2">
      <c r="A1536" s="1252"/>
      <c r="B1536" s="1249"/>
      <c r="C1536" s="1250"/>
      <c r="D1536" s="1249"/>
      <c r="E1536" s="1257">
        <f>SUM(E1529:E1535)</f>
        <v>67386.209999999992</v>
      </c>
    </row>
    <row r="1537" spans="1:5" x14ac:dyDescent="0.2">
      <c r="A1537" s="1255" t="s">
        <v>797</v>
      </c>
      <c r="B1537" s="1253"/>
      <c r="C1537" s="1256"/>
      <c r="D1537" s="1253"/>
      <c r="E1537" s="1258">
        <f>SUM(E1536/100)/500</f>
        <v>1.3477241999999998</v>
      </c>
    </row>
    <row r="1538" spans="1:5" x14ac:dyDescent="0.2">
      <c r="A1538" s="1255"/>
      <c r="B1538" s="1253"/>
      <c r="C1538" s="1256"/>
      <c r="D1538" s="1253"/>
      <c r="E1538" s="1258"/>
    </row>
    <row r="1539" spans="1:5" x14ac:dyDescent="0.2">
      <c r="A1539" s="1259" t="s">
        <v>798</v>
      </c>
      <c r="B1539" s="1253"/>
      <c r="C1539" s="1256"/>
      <c r="D1539" s="1253"/>
      <c r="E1539" s="1255"/>
    </row>
    <row r="1540" spans="1:5" x14ac:dyDescent="0.2">
      <c r="A1540" s="1255" t="s">
        <v>799</v>
      </c>
      <c r="B1540" s="1253">
        <f>(500*C1527*0.0254*0.0254*C1527*3.1416/4)*264+55</f>
        <v>2462.8795713280001</v>
      </c>
      <c r="C1540" s="1256" t="s">
        <v>23</v>
      </c>
      <c r="D1540" s="1253">
        <v>2.5</v>
      </c>
      <c r="E1540" s="1254">
        <f>ROUND(B1540*D1540,2)</f>
        <v>6157.2</v>
      </c>
    </row>
    <row r="1541" spans="1:5" x14ac:dyDescent="0.2">
      <c r="A1541" s="1255"/>
      <c r="B1541" s="1253"/>
      <c r="C1541" s="1256"/>
      <c r="D1541" s="1253"/>
      <c r="E1541" s="1260">
        <f>SUM(E1540/500)</f>
        <v>12.314399999999999</v>
      </c>
    </row>
    <row r="1542" spans="1:5" x14ac:dyDescent="0.2">
      <c r="A1542" s="1259" t="s">
        <v>800</v>
      </c>
      <c r="B1542" s="1253"/>
      <c r="C1542" s="1256"/>
      <c r="D1542" s="1253"/>
      <c r="E1542" s="1255"/>
    </row>
    <row r="1543" spans="1:5" x14ac:dyDescent="0.2">
      <c r="A1543" s="1255" t="s">
        <v>801</v>
      </c>
      <c r="B1543" s="1253">
        <v>1</v>
      </c>
      <c r="C1543" s="1256" t="s">
        <v>151</v>
      </c>
      <c r="D1543" s="1253">
        <v>1600</v>
      </c>
      <c r="E1543" s="1254">
        <f>ROUND(B1543*D1543,2)</f>
        <v>1600</v>
      </c>
    </row>
    <row r="1544" spans="1:5" x14ac:dyDescent="0.2">
      <c r="A1544" s="1255" t="s">
        <v>802</v>
      </c>
      <c r="B1544" s="1253">
        <v>1</v>
      </c>
      <c r="C1544" s="1256" t="s">
        <v>151</v>
      </c>
      <c r="D1544" s="1253">
        <f>750*2</f>
        <v>1500</v>
      </c>
      <c r="E1544" s="1254">
        <f>ROUND(B1544*D1544,2)</f>
        <v>1500</v>
      </c>
    </row>
    <row r="1545" spans="1:5" x14ac:dyDescent="0.2">
      <c r="A1545" s="1255"/>
      <c r="B1545" s="1253"/>
      <c r="C1545" s="1256"/>
      <c r="D1545" s="1253"/>
      <c r="E1545" s="1261">
        <f>SUM(E1543:E1544)</f>
        <v>3100</v>
      </c>
    </row>
    <row r="1546" spans="1:5" x14ac:dyDescent="0.2">
      <c r="A1546" s="1262"/>
      <c r="B1546" s="1263"/>
      <c r="C1546" s="1264"/>
      <c r="D1546" s="1263"/>
      <c r="E1546" s="1265">
        <f>SUM(E1545/1000)</f>
        <v>3.1</v>
      </c>
    </row>
    <row r="1547" spans="1:5" ht="13.5" thickBot="1" x14ac:dyDescent="0.25">
      <c r="A1547" s="1266"/>
      <c r="B1547" s="1267"/>
      <c r="C1547" s="1268"/>
      <c r="D1547" s="1269" t="s">
        <v>803</v>
      </c>
      <c r="E1547" s="1270">
        <f>SUM(E1537+E1541+E1546)</f>
        <v>16.762124199999999</v>
      </c>
    </row>
    <row r="1549" spans="1:5" x14ac:dyDescent="0.2">
      <c r="A1549" s="1597" t="s">
        <v>841</v>
      </c>
      <c r="B1549" s="1598"/>
      <c r="C1549" s="1598"/>
      <c r="D1549" s="1598"/>
      <c r="E1549" s="1599"/>
    </row>
    <row r="1550" spans="1:5" x14ac:dyDescent="0.2">
      <c r="A1550" s="1465"/>
      <c r="B1550" s="1466" t="s">
        <v>111</v>
      </c>
      <c r="C1550" s="1466" t="s">
        <v>538</v>
      </c>
      <c r="D1550" s="1466" t="s">
        <v>539</v>
      </c>
      <c r="E1550" s="1466" t="s">
        <v>540</v>
      </c>
    </row>
    <row r="1551" spans="1:5" x14ac:dyDescent="0.2">
      <c r="A1551" s="1467" t="s">
        <v>763</v>
      </c>
      <c r="B1551" s="1468">
        <v>1</v>
      </c>
      <c r="C1551" s="1469" t="s">
        <v>764</v>
      </c>
      <c r="D1551" s="1470">
        <v>2200</v>
      </c>
      <c r="E1551" s="1470">
        <f t="shared" ref="E1551:E1556" si="29">+D1551*B1551</f>
        <v>2200</v>
      </c>
    </row>
    <row r="1552" spans="1:5" x14ac:dyDescent="0.2">
      <c r="A1552" s="1471" t="s">
        <v>839</v>
      </c>
      <c r="B1552" s="1472">
        <v>1</v>
      </c>
      <c r="C1552" s="1469" t="s">
        <v>764</v>
      </c>
      <c r="D1552" s="1470">
        <v>750</v>
      </c>
      <c r="E1552" s="1470">
        <f t="shared" si="29"/>
        <v>750</v>
      </c>
    </row>
    <row r="1553" spans="1:5" x14ac:dyDescent="0.2">
      <c r="A1553" s="1471" t="s">
        <v>840</v>
      </c>
      <c r="B1553" s="1472">
        <v>1</v>
      </c>
      <c r="C1553" s="1469" t="s">
        <v>764</v>
      </c>
      <c r="D1553" s="1470">
        <v>650</v>
      </c>
      <c r="E1553" s="1470">
        <f t="shared" si="29"/>
        <v>650</v>
      </c>
    </row>
    <row r="1554" spans="1:5" x14ac:dyDescent="0.2">
      <c r="A1554" s="1471" t="s">
        <v>766</v>
      </c>
      <c r="B1554" s="1472">
        <v>1</v>
      </c>
      <c r="C1554" s="1469" t="s">
        <v>764</v>
      </c>
      <c r="D1554" s="1470">
        <v>650</v>
      </c>
      <c r="E1554" s="1470">
        <f t="shared" si="29"/>
        <v>650</v>
      </c>
    </row>
    <row r="1555" spans="1:5" x14ac:dyDescent="0.2">
      <c r="A1555" s="1471" t="s">
        <v>767</v>
      </c>
      <c r="B1555" s="1472">
        <v>1</v>
      </c>
      <c r="C1555" s="1469" t="s">
        <v>764</v>
      </c>
      <c r="D1555" s="1470">
        <v>650</v>
      </c>
      <c r="E1555" s="1470">
        <f t="shared" si="29"/>
        <v>650</v>
      </c>
    </row>
    <row r="1556" spans="1:5" x14ac:dyDescent="0.2">
      <c r="A1556" s="1471" t="s">
        <v>768</v>
      </c>
      <c r="B1556" s="1472">
        <v>1</v>
      </c>
      <c r="C1556" s="1469" t="s">
        <v>764</v>
      </c>
      <c r="D1556" s="1470">
        <v>96</v>
      </c>
      <c r="E1556" s="1470">
        <f t="shared" si="29"/>
        <v>96</v>
      </c>
    </row>
    <row r="1557" spans="1:5" x14ac:dyDescent="0.2">
      <c r="A1557" s="1465"/>
      <c r="B1557" s="1465"/>
      <c r="C1557" s="1469"/>
      <c r="D1557" s="1473" t="s">
        <v>735</v>
      </c>
      <c r="E1557" s="1474">
        <f>SUM(E1551:E1556)</f>
        <v>4996</v>
      </c>
    </row>
    <row r="1558" spans="1:5" x14ac:dyDescent="0.2">
      <c r="A1558" s="1475" t="s">
        <v>350</v>
      </c>
      <c r="B1558" s="1476">
        <v>40.799999999999997</v>
      </c>
      <c r="C1558" s="1474" t="s">
        <v>650</v>
      </c>
      <c r="D1558" s="1477"/>
      <c r="E1558" s="1477"/>
    </row>
    <row r="1559" spans="1:5" x14ac:dyDescent="0.2">
      <c r="A1559" s="1478"/>
      <c r="B1559" s="1477"/>
      <c r="C1559" s="1477"/>
      <c r="D1559" s="1473" t="s">
        <v>769</v>
      </c>
      <c r="E1559" s="1479">
        <f>+ROUND(E1557/B1558,2)</f>
        <v>122.45</v>
      </c>
    </row>
  </sheetData>
  <mergeCells count="40">
    <mergeCell ref="C435:D435"/>
    <mergeCell ref="B462:C462"/>
    <mergeCell ref="A1549:E1549"/>
    <mergeCell ref="B452:C452"/>
    <mergeCell ref="A639:B639"/>
    <mergeCell ref="C1525:D1525"/>
    <mergeCell ref="B1480:D1480"/>
    <mergeCell ref="A757:E757"/>
    <mergeCell ref="A776:E776"/>
    <mergeCell ref="A778:E778"/>
    <mergeCell ref="A786:E786"/>
    <mergeCell ref="A794:E794"/>
    <mergeCell ref="A1020:E1020"/>
    <mergeCell ref="A1031:E1031"/>
    <mergeCell ref="A802:E802"/>
    <mergeCell ref="B670:D670"/>
    <mergeCell ref="C168:D168"/>
    <mergeCell ref="C169:D169"/>
    <mergeCell ref="C215:D215"/>
    <mergeCell ref="B216:D216"/>
    <mergeCell ref="A325:E325"/>
    <mergeCell ref="B1408:D1408"/>
    <mergeCell ref="A1099:E1099"/>
    <mergeCell ref="A1156:E1156"/>
    <mergeCell ref="A1170:E1170"/>
    <mergeCell ref="A1241:E1241"/>
    <mergeCell ref="A1318:E1318"/>
    <mergeCell ref="C1397:D1397"/>
    <mergeCell ref="C1085:D1085"/>
    <mergeCell ref="A813:E813"/>
    <mergeCell ref="A859:E859"/>
    <mergeCell ref="A861:E861"/>
    <mergeCell ref="A899:E899"/>
    <mergeCell ref="C962:D962"/>
    <mergeCell ref="C963:D963"/>
    <mergeCell ref="C1079:D1079"/>
    <mergeCell ref="A835:E835"/>
    <mergeCell ref="A847:E847"/>
    <mergeCell ref="C1018:D1018"/>
    <mergeCell ref="C997:D99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las tejas</vt:lpstr>
      <vt:lpstr>movimiento de tierra </vt:lpstr>
      <vt:lpstr>ANALISIS</vt:lpstr>
      <vt:lpstr>'las tejas'!Área_de_impresión</vt:lpstr>
      <vt:lpstr>'las tejas'!Títulos_a_imprimir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Mayrassis Massiel Bello Báez</cp:lastModifiedBy>
  <cp:lastPrinted>2020-10-28T14:04:40Z</cp:lastPrinted>
  <dcterms:created xsi:type="dcterms:W3CDTF">2016-08-15T22:12:56Z</dcterms:created>
  <dcterms:modified xsi:type="dcterms:W3CDTF">2020-11-25T18:19:30Z</dcterms:modified>
</cp:coreProperties>
</file>