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375" firstSheet="1" activeTab="1"/>
  </bookViews>
  <sheets>
    <sheet name="ANALISIS PARA CASETA CLORO" sheetId="1" state="hidden" r:id="rId1"/>
    <sheet name="listado de partida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#N/A</definedName>
    <definedName name="\b">#REF!</definedName>
    <definedName name="\c">#N/A</definedName>
    <definedName name="\d">#N/A</definedName>
    <definedName name="\f">#REF!</definedName>
    <definedName name="\i">#REF!</definedName>
    <definedName name="\m">#REF!</definedName>
    <definedName name="\o">'[3]CUB02'!$U$11:$U$17</definedName>
    <definedName name="\p">'[3]CUB02'!$U$1:$U$8</definedName>
    <definedName name="\q">'[3]CUB02'!$W$1:$W$8</definedName>
    <definedName name="\w">'[3]CUB02'!$W$11:$W$244</definedName>
    <definedName name="\z">'[3]CUB02'!$S$6</definedName>
    <definedName name="__REALIZADO">'[3]CUB02'!$W$1:$W$8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1">#N/A</definedName>
    <definedName name="_Fill" hidden="1">#REF!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'[4]PVC'!#REF!</definedName>
    <definedName name="A_IMPRESIÓN_IM">#REF!</definedName>
    <definedName name="AC38G40">'[5]LISTADO INSUMOS DEL 2000'!$I$29</definedName>
    <definedName name="acero">#REF!</definedName>
    <definedName name="Acero_QQ">'[6]INSU'!$D$9</definedName>
    <definedName name="acero60">#REF!</definedName>
    <definedName name="ADA">'[7]CUB-10181-3(Rescision)'!#REF!</definedName>
    <definedName name="ADAPTADOR_HEM_PVC_1">#REF!</definedName>
    <definedName name="ADAPTADOR_HEM_PVC_12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ICIONAL">#N/A</definedName>
    <definedName name="ADITIVO_IMPERMEABILIZANTE">#REF!</definedName>
    <definedName name="Agua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ambre_Varilla">'[6]INSU'!$D$17</definedName>
    <definedName name="alambre18">#REF!</definedName>
    <definedName name="ALBANIL">#REF!</definedName>
    <definedName name="ALBANIL2">#REF!</definedName>
    <definedName name="ALBANIL3">#REF!</definedName>
    <definedName name="ANA">'[7]CUB-10181-3(Rescision)'!#REF!</definedName>
    <definedName name="ANDAMIOS">#REF!</definedName>
    <definedName name="ANGULAR">#REF!</definedName>
    <definedName name="ARANDELA_INODORO_PVC_4">#REF!</definedName>
    <definedName name="ARCILLA_ROJA">#REF!</definedName>
    <definedName name="EXTRACT">'[3]CUB02'!$S$13:$AN$415</definedName>
    <definedName name="_xlnm.Print_Area" localSheetId="0">'ANALISIS PARA CASETA CLORO'!$A$1:$G$1086</definedName>
    <definedName name="_xlnm.Print_Area" localSheetId="1">'listado de partidas'!$A$1:$F$523</definedName>
    <definedName name="ARENA_PAÑETE">#REF!</definedName>
    <definedName name="ArenaItabo">#REF!</definedName>
    <definedName name="ArenaPlanta">#REF!</definedName>
    <definedName name="as">#N/A</definedName>
    <definedName name="asd">#REF!</definedName>
    <definedName name="AYCARP">'[10]INS'!#REF!</definedName>
    <definedName name="AYUDANTE">#REF!</definedName>
    <definedName name="Ayudante_2da">#REF!</definedName>
    <definedName name="Ayudante_Soldador">#REF!</definedName>
    <definedName name="b">'[11]ADDENDA'!#REF!</definedName>
    <definedName name="BALDOSAS_TRANSPARENTE">#REF!</definedName>
    <definedName name="bas3e">#REF!</definedName>
    <definedName name="BASE_CONTEN">#REF!</definedName>
    <definedName name="BLOCK_4">#REF!</definedName>
    <definedName name="BLOCK_6">#REF!</definedName>
    <definedName name="BLOCK_8">#REF!</definedName>
    <definedName name="BLOCK_CALADO">#REF!</definedName>
    <definedName name="bloque8">#REF!</definedName>
    <definedName name="BOMBA_ACHIQUE">#REF!</definedName>
    <definedName name="BOMBILLAS_1500W">'[12]INSU'!$B$42</definedName>
    <definedName name="BOQUILLA_FREGADERO_CROMO">#REF!</definedName>
    <definedName name="BOQUILLA_LAVADERO_CROMO">#REF!</definedName>
    <definedName name="BOTE">#REF!</definedName>
    <definedName name="BREAKERS">#REF!</definedName>
    <definedName name="BREAKERS_15A">#REF!</definedName>
    <definedName name="BREAKERS_20A">#REF!</definedName>
    <definedName name="BREAKERS_30A">#REF!</definedName>
    <definedName name="BRIGADATOPOGRAFICA">'[13]M.O.'!$C$9</definedName>
    <definedName name="BVNBVNBV">'[14]M.O.'!#REF!</definedName>
    <definedName name="C._ADICIONAL">#N/A</definedName>
    <definedName name="caballeteasbecto">'[15]precios'!#REF!</definedName>
    <definedName name="caballeteasbeto">'[15]precios'!#REF!</definedName>
    <definedName name="CAJA_2x4_12">#REF!</definedName>
    <definedName name="CAJA_2x4_34">#REF!</definedName>
    <definedName name="CAJA_OCTAGONAL">#REF!</definedName>
    <definedName name="Cal">#REF!</definedName>
    <definedName name="CALICHE">#REF!</definedName>
    <definedName name="CAMION_BOTE">#REF!</definedName>
    <definedName name="CARANTEPECHO">'[13]M.O.'!#REF!</definedName>
    <definedName name="CARCOL30">'[13]M.O.'!#REF!</definedName>
    <definedName name="CARCOL50">'[13]M.O.'!#REF!</definedName>
    <definedName name="CARCOLAMARRE">'[13]M.O.'!#REF!</definedName>
    <definedName name="CARGA_SOCIAL">#REF!</definedName>
    <definedName name="CARLOSAPLA">'[13]M.O.'!#REF!</definedName>
    <definedName name="CARLOSAVARIASAGUAS">'[13]M.O.'!#REF!</definedName>
    <definedName name="CARMURO">'[13]M.O.'!#REF!</definedName>
    <definedName name="CARP1">'[10]INS'!#REF!</definedName>
    <definedName name="CARP2">'[10]INS'!#REF!</definedName>
    <definedName name="CARPDINTEL">'[13]M.O.'!#REF!</definedName>
    <definedName name="CARPINTERIA_COL_PERIMETRO">#REF!</definedName>
    <definedName name="CARPINTERIA_INSTAL_COL_PERIMETRO">#REF!</definedName>
    <definedName name="CARPVIGA2040">'[13]M.O.'!#REF!</definedName>
    <definedName name="CARPVIGA3050">'[13]M.O.'!#REF!</definedName>
    <definedName name="CARPVIGA3060">'[13]M.O.'!#REF!</definedName>
    <definedName name="CARPVIGA4080">'[13]M.O.'!#REF!</definedName>
    <definedName name="CARRAMPA">'[13]M.O.'!#REF!</definedName>
    <definedName name="CARRETILLA">#REF!</definedName>
    <definedName name="CASBESTO">'[13]M.O.'!#REF!</definedName>
    <definedName name="CBLOCK10">'[10]INS'!#REF!</definedName>
    <definedName name="cell">'[16]LISTADO INSUMOS DEL 2000'!$I$29</definedName>
    <definedName name="CEMENTO">#REF!</definedName>
    <definedName name="CEMENTO_BLANCO">#REF!</definedName>
    <definedName name="CEMENTO_PVC">#REF!</definedName>
    <definedName name="CERAMICA_20x20_BLANCA">#REF!</definedName>
    <definedName name="CERAMICA_ANTIDESLIZANTE">#REF!</definedName>
    <definedName name="CERAMICA_PISOS_40x40">#REF!</definedName>
    <definedName name="CHAZO">'[12]INSU'!$B$104</definedName>
    <definedName name="CHAZOS">#REF!</definedName>
    <definedName name="CHEQUE_HORZ_34">#REF!</definedName>
    <definedName name="CHEQUE_VERT_34">#REF!</definedName>
    <definedName name="CLAVO_ACERO">'[6]INSU'!$D$130</definedName>
    <definedName name="CLAVO_CORRIENTE">'[6]INSU'!$D$131</definedName>
    <definedName name="CLAVO_ZINC">#REF!</definedName>
    <definedName name="clavos">#REF!</definedName>
    <definedName name="CLAVOZINC">'[17]INS'!$D$767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LA_EXT_LAVAMANOS_PVC_1_14x8">#REF!</definedName>
    <definedName name="COLC1">#REF!</definedName>
    <definedName name="COLC2">#REF!</definedName>
    <definedName name="COLC3CIR">#REF!</definedName>
    <definedName name="COLC4">#REF!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MPRESOR">#REF!</definedName>
    <definedName name="COMPUERTA_1x1_VOLANTA">#REF!</definedName>
    <definedName name="CONTEN">#REF!</definedName>
    <definedName name="CRUZ_HG_1_12">#REF!</definedName>
    <definedName name="cuadro">'[11]ADDENDA'!#REF!</definedName>
    <definedName name="CUBETA_5Gls">#REF!</definedName>
    <definedName name="CUBIC._ANTERIOR">#N/A</definedName>
    <definedName name="CUBICACION">#N/A</definedName>
    <definedName name="CUBICADO">#N/A</definedName>
    <definedName name="CUBO_GOMA">#REF!</definedName>
    <definedName name="CUBREFALTA_INODORO_CROMO_38">#REF!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ZINC">'[13]M.O.'!#REF!</definedName>
    <definedName name="derop">#N/A</definedName>
    <definedName name="DERRETIDO_BCO">#REF!</definedName>
    <definedName name="DESAGUE_DOBLE_FREGADERO_PVC">#REF!</definedName>
    <definedName name="DESCRIPCION">#N/A</definedName>
    <definedName name="desencofrado">#REF!</definedName>
    <definedName name="DESENCOFRADO_COLS">'[6]MO'!$B$256</definedName>
    <definedName name="DESENCOFRADO_LOSA">#REF!</definedName>
    <definedName name="DESENCOFRADO_MURO">#REF!</definedName>
    <definedName name="DESENCOFRADO_VIGA">#REF!</definedName>
    <definedName name="desencofradovigas">#REF!</definedName>
    <definedName name="DIA">#REF!</definedName>
    <definedName name="DISTRIBUCION_DE_AREAS_POR_NIVEL">#REF!</definedName>
    <definedName name="donatelo">#N/A</definedName>
    <definedName name="DUCHA_PLASTICA_CALIENTE_CROMO_12">#REF!</definedName>
    <definedName name="ELECTRODOS">#REF!</definedName>
    <definedName name="ENCACHE">#REF!</definedName>
    <definedName name="ENCOF_COLS_1">'[6]MO'!$B$247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ncofradocolumna">#REF!</definedName>
    <definedName name="encofradorampa">#REF!</definedName>
    <definedName name="ESCALON_17x30">#REF!</definedName>
    <definedName name="ESCOBILLON">#REF!</definedName>
    <definedName name="ESTAMPADO">#REF!</definedName>
    <definedName name="ESTOPA">#REF!</definedName>
    <definedName name="expl">'[11]ADDENDA'!#REF!</definedName>
    <definedName name="Extracción_IM">'[3]CUB02'!$S$13:$AN$415</definedName>
    <definedName name="FREGADERO_DOBLE_ACERO_INOX">#REF!</definedName>
    <definedName name="FREGADERO_SENCILLO_ACERO_INOX">#REF!</definedName>
    <definedName name="FSDFS">#REF!</definedName>
    <definedName name="GAS_CIL">#REF!</definedName>
    <definedName name="GASOIL">#REF!</definedName>
    <definedName name="GASOLINA">'[10]INS'!$D$561</definedName>
    <definedName name="GAVIONES">#REF!</definedName>
    <definedName name="GENERADOR_DIESEL_400KW">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UA">#REF!</definedName>
    <definedName name="HACHA">#REF!</definedName>
    <definedName name="HERR_MENO">#REF!</definedName>
    <definedName name="HILO">#REF!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35_MANUAL">'[17]HORM. Y MORTEROS.'!$H$212</definedName>
    <definedName name="hormigon140">#REF!</definedName>
    <definedName name="hormigon180">#REF!</definedName>
    <definedName name="hormigon210">#REF!</definedName>
    <definedName name="Imprimir_área_IM">#REF!</definedName>
    <definedName name="ingeniera">#N/A</definedName>
    <definedName name="INODORO_BCO_TAPA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J">'[7]CUB-10181-3(Rescision)'!#REF!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LADRILLOS_4x8x2">#REF!</definedName>
    <definedName name="LAMPARA_FLUORESC_2x4">#REF!</definedName>
    <definedName name="LAMPARAS_DE_1500W_220V">'[12]INSU'!$B$41</definedName>
    <definedName name="LAQUEAR_MADERA">#REF!</definedName>
    <definedName name="LAVADERO_DOBLE">#REF!</definedName>
    <definedName name="LAVADERO_GRANITO_SENCILLO">#REF!</definedName>
    <definedName name="LAVAMANO_19x17_BCO">#REF!</definedName>
    <definedName name="Ligadora2fdas">#REF!</definedName>
    <definedName name="LINEA_DE_CONDUC">#N/A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IN_PUERTA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OSA12">#REF!</definedName>
    <definedName name="LOSA20">#REF!</definedName>
    <definedName name="LOSA30">#REF!</definedName>
    <definedName name="MA">#REF!</definedName>
    <definedName name="MACHETE">#REF!</definedName>
    <definedName name="MACO">#REF!</definedName>
    <definedName name="Madera_P2">'[6]INSU'!$D$132</definedName>
    <definedName name="maderabrutapino">#REF!</definedName>
    <definedName name="Maestro">#REF!</definedName>
    <definedName name="MAESTROCARP">'[10]INS'!#REF!</definedName>
    <definedName name="MALLA_ABRAZ_1_12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RCO_PUERTA_PINO">#REF!</definedName>
    <definedName name="MATERIAL_RELLENO">#REF!</definedName>
    <definedName name="MBA">#REF!</definedName>
    <definedName name="MEXCLADORA_LAVAMANOS">#REF!</definedName>
    <definedName name="MEZCLA_CAL_ARENA_PISOS">#REF!</definedName>
    <definedName name="MezclaAntillana">#REF!</definedName>
    <definedName name="mezclajuntabloque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'[6]MO'!$B$612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cero">#REF!</definedName>
    <definedName name="moaceromalla">#REF!</definedName>
    <definedName name="moacerorampa">#REF!</definedName>
    <definedName name="MOLDE_ESTAMPADO">#REF!</definedName>
    <definedName name="MOPISOCERAMICA">'[10]INS'!#REF!</definedName>
    <definedName name="MOTONIVELADORA">#REF!</definedName>
    <definedName name="MURO30">#REF!</definedName>
    <definedName name="MUROBOVEDA12A10X2AD">#REF!</definedName>
    <definedName name="NADA">'[18]Insumos'!#REF!</definedName>
    <definedName name="NINGUNA">'[18]Insumos'!#REF!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OPERADOR_GREADER">#REF!</definedName>
    <definedName name="OPERADOR_PALA">#REF!</definedName>
    <definedName name="OPERADOR_TRACTOR">#REF!</definedName>
    <definedName name="Operario_1ra">#REF!</definedName>
    <definedName name="Operario_2da">#REF!</definedName>
    <definedName name="Operario_3ra">#REF!</definedName>
    <definedName name="OPERARIOPRIMERA">'[17]SALARIOS'!$C$10</definedName>
    <definedName name="OXIGENO_CIL">#REF!</definedName>
    <definedName name="p">'[19]peso'!#REF!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LA_950">#REF!</definedName>
    <definedName name="PANEL_DIST_24C">#REF!</definedName>
    <definedName name="PANEL_DIST_32C">#REF!</definedName>
    <definedName name="PANEL_DIST_4a8C">#REF!</definedName>
    <definedName name="PanelDist_6a12_Circ_125a">#REF!</definedName>
    <definedName name="PARARRAYOS_9KV">#REF!</definedName>
    <definedName name="PEON">#REF!</definedName>
    <definedName name="Peon_1">'[6]MO'!$B$11</definedName>
    <definedName name="Peon_Colchas">'[12]MO'!$B$11</definedName>
    <definedName name="PEONCARP">'[10]INS'!#REF!</definedName>
    <definedName name="PERFIL_CUADRADO_34">'[12]INSU'!$B$91</definedName>
    <definedName name="Pernos">#REF!</definedName>
    <definedName name="PICO">#REF!</definedName>
    <definedName name="PIEDRA">#REF!</definedName>
    <definedName name="PIEDRA_GAVIONES">#REF!</definedName>
    <definedName name="PINO">'[17]INS'!$D$770</definedName>
    <definedName name="PINTURA_ACR_COLOR_PREPARADO">#REF!</definedName>
    <definedName name="PINTURA_ACR_EXT">#REF!</definedName>
    <definedName name="PINTURA_ACR_INT">#REF!</definedName>
    <definedName name="PINTURA_BASE">#REF!</definedName>
    <definedName name="PINTURA_MANTENIMIENTO">#REF!</definedName>
    <definedName name="PINTURA_OXIDO_ROJO">#REF!</definedName>
    <definedName name="PISO_GRANITO_FONDO_BCO">'[12]INSU'!$B$103</definedName>
    <definedName name="PLANTA_ELECTRICA">#REF!</definedName>
    <definedName name="PLASTICO">'[12]INSU'!$B$90</definedName>
    <definedName name="PLIGADORA2">'[10]INS'!$D$563</definedName>
    <definedName name="PLOMERO">'[10]INS'!#REF!</definedName>
    <definedName name="PLOMERO_SOLDADOR">#REF!</definedName>
    <definedName name="PLOMEROAYUDANTE">'[10]INS'!#REF!</definedName>
    <definedName name="PLOMEROOFICIAL">'[10]INS'!#REF!</definedName>
    <definedName name="PLYWOOD_34_2CARAS">'[6]INSU'!$D$133</definedName>
    <definedName name="pmadera2162">'[15]precios'!#REF!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REC._UNITARIO">#N/A</definedName>
    <definedName name="precios">'[20]Precios'!$A$4:$F$1576</definedName>
    <definedName name="PRESUPUESTO">#N/A</definedName>
    <definedName name="PUERTA_PANEL_PINO">#REF!</definedName>
    <definedName name="PUERTA_PLYWOOD">#REF!</definedName>
    <definedName name="PULIDO_Y_BRILLADO_ESCALON">#REF!</definedName>
    <definedName name="PULIDOyBRILLADO_TC">#REF!</definedName>
    <definedName name="PWINCHE2000K">'[10]INS'!$D$568</definedName>
    <definedName name="Q">'[3]CUB02'!$W$1:$W$8</definedName>
    <definedName name="RASTRILLO">#REF!</definedName>
    <definedName name="REDUCCION_BUSHING_HG_12x38">#REF!</definedName>
    <definedName name="REDUCCION_PVC_34a12">#REF!</definedName>
    <definedName name="REDUCCION_PVC_DREN_4x2">#REF!</definedName>
    <definedName name="REFERENCIA">'[21]COF'!$G$733</definedName>
    <definedName name="REGISTRO_ELEC_6x6">#REF!</definedName>
    <definedName name="REGLA_PAÑETE">#REF!</definedName>
    <definedName name="REJILLA_PISO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>#REF!</definedName>
    <definedName name="REVESTIMIENTO_CERAMICA_20x20">#REF!</definedName>
    <definedName name="RODILLO_CAT_815">#REF!</definedName>
    <definedName name="ROSETA">#REF!</definedName>
    <definedName name="SALARIO">#REF!</definedName>
    <definedName name="SALIDA">#N/A</definedName>
    <definedName name="SDSDFSDFSDF">#REF!</definedName>
    <definedName name="SEGUETA">#REF!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LICONE">#REF!</definedName>
    <definedName name="SOLDADORA">#REF!</definedName>
    <definedName name="SUB_TOTAL">#REF!</definedName>
    <definedName name="TANQUE_55Gls">#REF!</definedName>
    <definedName name="TAPA_ALUMINIO_1x1">#REF!</definedName>
    <definedName name="TAPA_REGISTRO_HF">#REF!</definedName>
    <definedName name="TAPA_REGISTRO_HF_LIVIANA">#REF!</definedName>
    <definedName name="TAPE_3M">#REF!</definedName>
    <definedName name="TC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FLON">#REF!</definedName>
    <definedName name="THINNER">#REF!</definedName>
    <definedName name="_xlnm.Print_Titles" localSheetId="0">'ANALISIS PARA CASETA CLORO'!$1:$11</definedName>
    <definedName name="_xlnm.Print_Titles" localSheetId="1">'listado de partidas'!$1:$10</definedName>
    <definedName name="_xlnm.Print_Titles">#N/A</definedName>
    <definedName name="Tolas">#REF!</definedName>
    <definedName name="TOMACORRIENTE_110V">#REF!</definedName>
    <definedName name="TOMACORRIENTE_220V_SENC">#REF!</definedName>
    <definedName name="TOMACORRIENTE_30a">#REF!</definedName>
    <definedName name="Topografo">#REF!</definedName>
    <definedName name="TORNILLOS">#REF!</definedName>
    <definedName name="TORNILLOS_INODORO">#REF!</definedName>
    <definedName name="TRACTOR_D8K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ompo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YPE_3M">#REF!</definedName>
    <definedName name="UND">#N/A</definedName>
    <definedName name="UNION_HG_1">#REF!</definedName>
    <definedName name="UNION_HG_12">#REF!</definedName>
    <definedName name="UNION_HG_34">#REF!</definedName>
    <definedName name="UNION_PVC_PRES_12">#REF!</definedName>
    <definedName name="UNION_PVC_PRES_34">#REF!</definedName>
    <definedName name="vaciadohormigonindustrial">#REF!</definedName>
    <definedName name="vaciadozapata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COLGANTE1590">#REF!</definedName>
    <definedName name="VIBRADO">#REF!</definedName>
    <definedName name="VIGASHP">#REF!</definedName>
    <definedName name="VIOLINADO">#REF!</definedName>
    <definedName name="VUELO10">#REF!</definedName>
    <definedName name="Winche">#REF!</definedName>
    <definedName name="YEE_PVC_DREN_2">#REF!</definedName>
    <definedName name="YEE_PVC_DREN_3">#REF!</definedName>
    <definedName name="YEE_PVC_DREN_4">#REF!</definedName>
    <definedName name="YEE_PVC_DREN_4x2">#REF!</definedName>
    <definedName name="ZC1">#REF!</definedName>
    <definedName name="ZE1">#REF!</definedName>
    <definedName name="ZE2">#REF!</definedName>
    <definedName name="ZE3">#REF!</definedName>
    <definedName name="ZE4">#REF!</definedName>
    <definedName name="ZE5">#REF!</definedName>
    <definedName name="ZE6">#REF!</definedName>
    <definedName name="ZINC_CAL26_3x6">#REF!</definedName>
    <definedName name="ZOCALO_8x34">#REF!</definedName>
  </definedNames>
  <calcPr fullCalcOnLoad="1" fullPrecision="0"/>
</workbook>
</file>

<file path=xl/sharedStrings.xml><?xml version="1.0" encoding="utf-8"?>
<sst xmlns="http://schemas.openxmlformats.org/spreadsheetml/2006/main" count="2417" uniqueCount="904">
  <si>
    <t>REPLANTEO</t>
  </si>
  <si>
    <t>P.A</t>
  </si>
  <si>
    <t>RELLENO COMPACTADO</t>
  </si>
  <si>
    <t>PAÑETE EXTERIOR</t>
  </si>
  <si>
    <t>INSTITUTO NACIONAL DE AGUAS POTABLES Y ALCANTARILLADOS</t>
  </si>
  <si>
    <t>P.U. (RD$)</t>
  </si>
  <si>
    <t>P.A.</t>
  </si>
  <si>
    <t>M3</t>
  </si>
  <si>
    <t>M2</t>
  </si>
  <si>
    <t>UD</t>
  </si>
  <si>
    <t>GLS</t>
  </si>
  <si>
    <t>FINO LOSA DE TECHO</t>
  </si>
  <si>
    <t>MOVIMIENTO DE TIERRA</t>
  </si>
  <si>
    <t>HORMIGON ARMADO EN:</t>
  </si>
  <si>
    <t>PAÑETE INTERIOR PULIDO</t>
  </si>
  <si>
    <t>MANO DE OBRA</t>
  </si>
  <si>
    <t xml:space="preserve"> * * * INAPA * * *</t>
  </si>
  <si>
    <t>D E S C R I P C I O N</t>
  </si>
  <si>
    <t>CANTIDAD</t>
  </si>
  <si>
    <t>VALOR (RD$)</t>
  </si>
  <si>
    <t>M</t>
  </si>
  <si>
    <t>DESCRIPCION</t>
  </si>
  <si>
    <t>PRECIO UNIT.</t>
  </si>
  <si>
    <t>VALOR</t>
  </si>
  <si>
    <t>AGUA</t>
  </si>
  <si>
    <t>GL</t>
  </si>
  <si>
    <t>CEMENTO GRIS PUESTO EN OBRA</t>
  </si>
  <si>
    <t>FDA</t>
  </si>
  <si>
    <t>CAL</t>
  </si>
  <si>
    <t>ARENA</t>
  </si>
  <si>
    <t>GRAVA</t>
  </si>
  <si>
    <t>ARENA PARA PAÑETE</t>
  </si>
  <si>
    <t>ACERO PUESTO EN OBRA</t>
  </si>
  <si>
    <t>QQ</t>
  </si>
  <si>
    <t xml:space="preserve">TRANSPORTE </t>
  </si>
  <si>
    <t>KM</t>
  </si>
  <si>
    <t xml:space="preserve">AGREGADO ( ARENA ) </t>
  </si>
  <si>
    <t>MATERIALES</t>
  </si>
  <si>
    <t>TRANSPORTE</t>
  </si>
  <si>
    <t>MANEJO EN OBRA</t>
  </si>
  <si>
    <t>COSTO/M3 DE AGREGADO   R.D$</t>
  </si>
  <si>
    <t xml:space="preserve">AGREGADO ( GRAVA ) </t>
  </si>
  <si>
    <t>H.S. PARA F'C= 240 KGS/CM2</t>
  </si>
  <si>
    <t>CEMENTO</t>
  </si>
  <si>
    <t>FDAS</t>
  </si>
  <si>
    <t>LIGADO Y VACIADO</t>
  </si>
  <si>
    <t>DESPERDICIO 2%</t>
  </si>
  <si>
    <t>R.D.$</t>
  </si>
  <si>
    <t>H.S. PARA F'C= 210 KGS/CM2</t>
  </si>
  <si>
    <t>H.S. PARA F'C= 210 KGS/CM2 PARA L PQÑ</t>
  </si>
  <si>
    <t>H.S. PARA F'C= 180 KGS/CM2</t>
  </si>
  <si>
    <t>H.S./fondo</t>
  </si>
  <si>
    <t>H.S. PARA F'C=140 KGS/CM2</t>
  </si>
  <si>
    <t>ARENA  P/ PAÑETE</t>
  </si>
  <si>
    <t>COSTO EN PLANTA</t>
  </si>
  <si>
    <t>M0RTERO PARA PAÑETE 1:4</t>
  </si>
  <si>
    <t>LIGADO</t>
  </si>
  <si>
    <t>DIA</t>
  </si>
  <si>
    <t>DESPERDICIO 3%</t>
  </si>
  <si>
    <t xml:space="preserve"> </t>
  </si>
  <si>
    <t>MORTERO PARA FINO 1:3</t>
  </si>
  <si>
    <t xml:space="preserve">ARENA </t>
  </si>
  <si>
    <t>MORTERO 1:4 +30% DESP.</t>
  </si>
  <si>
    <t>REGLA</t>
  </si>
  <si>
    <t>P2</t>
  </si>
  <si>
    <t>ANDAMIOS</t>
  </si>
  <si>
    <t>PA</t>
  </si>
  <si>
    <t>CON ADICTIVO</t>
  </si>
  <si>
    <t>CON IMPERMEABILIZANTE</t>
  </si>
  <si>
    <t>MORTERO 1:4+30 % DESP</t>
  </si>
  <si>
    <t>CEMENTO 2DA CAPA</t>
  </si>
  <si>
    <t>MANO DE OBRA PAÑETE Y PULIDO</t>
  </si>
  <si>
    <t>PAÑETE INTERIOR --------------------------------------</t>
  </si>
  <si>
    <t>PAÑETE INTERIOR C / ADITIVO ---------------------</t>
  </si>
  <si>
    <t>PAÑETE INTERIOR PULIDO C / ADITIVO ------</t>
  </si>
  <si>
    <t>PAÑETE INTERIOR C / IMPERM.--------------------</t>
  </si>
  <si>
    <t>PAÑETE INTERIOR PULIDO C / IMPERM------</t>
  </si>
  <si>
    <t>FINO LOSA DE FONDO</t>
  </si>
  <si>
    <t>MORTERO 1:3+ 25%DESP.</t>
  </si>
  <si>
    <t>BAJADA MAT.</t>
  </si>
  <si>
    <t xml:space="preserve">   </t>
  </si>
  <si>
    <t>RD-$</t>
  </si>
  <si>
    <t>FINO LOSA DE FONDO PULIDO --------------------</t>
  </si>
  <si>
    <t>FINO LOSA DE FONDO PULIDO C/ADITIVO----</t>
  </si>
  <si>
    <t>MORTERO 1:3+DESP.</t>
  </si>
  <si>
    <t>SUBIDA MAT.</t>
  </si>
  <si>
    <t>CANTOS</t>
  </si>
  <si>
    <t>MORTERO 1:4+DESP.</t>
  </si>
  <si>
    <t>RD$</t>
  </si>
  <si>
    <t>RESANE</t>
  </si>
  <si>
    <t>MORTERO 1:4  + 30% DESP.</t>
  </si>
  <si>
    <t>REGLA (1 DE 1"x 4" x 10' / 100 USOS ).</t>
  </si>
  <si>
    <t xml:space="preserve">CARETEO </t>
  </si>
  <si>
    <t>MORTEO 1:4 PARA EMPAÑETE + 30% DESP. DESP. (5MM ESPESOR)</t>
  </si>
  <si>
    <t>MANO DE OBRA.</t>
  </si>
  <si>
    <t>COSTO /M2</t>
  </si>
  <si>
    <t>IMPERMEABILIZANTE ( REND, 20 M2/GL )</t>
  </si>
  <si>
    <t>P.U GALON RD$</t>
  </si>
  <si>
    <t>IMPERMEABILIZANTE SUPRAWELD + 20%</t>
  </si>
  <si>
    <t>APLICACION  ( DOS MANOS )</t>
  </si>
  <si>
    <t>HERRAMIENTAS 3%</t>
  </si>
  <si>
    <t>COSTO / M2</t>
  </si>
  <si>
    <t>ZABALETA 0.15 x 0.15</t>
  </si>
  <si>
    <t>H.S. 180 KG/cm²</t>
  </si>
  <si>
    <t>M.O.</t>
  </si>
  <si>
    <t>ML</t>
  </si>
  <si>
    <t>COSTO/M3  R.D$</t>
  </si>
  <si>
    <t>COSTO/M.L  R.D$</t>
  </si>
  <si>
    <t>ACERO P/ZAPATA DE MURO, VIGAS Y COLUMNAS</t>
  </si>
  <si>
    <t xml:space="preserve">SUMINISTRO </t>
  </si>
  <si>
    <t>ALAMBRE NO.18.  2 LIB.XQQ</t>
  </si>
  <si>
    <t>LB</t>
  </si>
  <si>
    <t>ACERO GENERAL</t>
  </si>
  <si>
    <t>ACERO</t>
  </si>
  <si>
    <t>ANALISIS MUROS DE BLOQUES</t>
  </si>
  <si>
    <t>HORMIGON P/CAMARA BLOQUES 1:3:5</t>
  </si>
  <si>
    <t>CEMENTO GRIS</t>
  </si>
  <si>
    <t xml:space="preserve">MANO DE OBRA MEZCLADO </t>
  </si>
  <si>
    <t xml:space="preserve">DESPERDICIO 3%  </t>
  </si>
  <si>
    <t>HORMIGON CICLOPEO</t>
  </si>
  <si>
    <t>H.S. 140KG/CM2 + 5% DESP.</t>
  </si>
  <si>
    <t>PIEDRA CALIZA</t>
  </si>
  <si>
    <t>MURO DE BLOQUES DE 6"</t>
  </si>
  <si>
    <t>SUM.DE BLOQUE 6"</t>
  </si>
  <si>
    <t>U</t>
  </si>
  <si>
    <t>COLOCACION BLOQUES 6"</t>
  </si>
  <si>
    <t>MORTERO P/JUNTA+30%DESP.</t>
  </si>
  <si>
    <t>HORM.EN CAMARA +10%DESP.</t>
  </si>
  <si>
    <t>ACERO 3/8"+20%DESP</t>
  </si>
  <si>
    <t>ANDAMIOS P/BLOQUES</t>
  </si>
  <si>
    <t>CONFECCION ANDAMIOS</t>
  </si>
  <si>
    <t xml:space="preserve">LLENADO HUECOS </t>
  </si>
  <si>
    <t>BLOQUES CALADOS</t>
  </si>
  <si>
    <t>SUMINISTRO BLOQUES</t>
  </si>
  <si>
    <t xml:space="preserve">COLOCACION BLOQUES </t>
  </si>
  <si>
    <t xml:space="preserve">MEZCLA P/PAÑETE </t>
  </si>
  <si>
    <t xml:space="preserve">DESP. BLOQUES </t>
  </si>
  <si>
    <t>ACERA PERIMETRAL 0.80</t>
  </si>
  <si>
    <t>PREPARACION DE TERRENO</t>
  </si>
  <si>
    <t>H.S. 180KG/CM2+5% DESP.</t>
  </si>
  <si>
    <t xml:space="preserve">ELABORACION VACIADO Y FROTADO </t>
  </si>
  <si>
    <t xml:space="preserve">CANTOS LATERALES </t>
  </si>
  <si>
    <t>ACERA PERIMETRAL 0.40</t>
  </si>
  <si>
    <t>ACERA PERIMETRAL 0.60</t>
  </si>
  <si>
    <t>ACERA PERIMETRAL 1.00</t>
  </si>
  <si>
    <t>PISO HORMIGON SIMPLE PULIDO NATURAL</t>
  </si>
  <si>
    <t>HORMIGON 1:3:5</t>
  </si>
  <si>
    <t>MORTERO 1:4</t>
  </si>
  <si>
    <t xml:space="preserve">ELAB. VAC. FROT. Y VIOL. </t>
  </si>
  <si>
    <t>CEMENTO GRIS PULIDO</t>
  </si>
  <si>
    <t>LBS</t>
  </si>
  <si>
    <t>VERJA DE MALLA CICLONICA, LONGITUD DE ANALISIS L=12.00</t>
  </si>
  <si>
    <t>ZAPATA DE MURO  P/VERJA-0.20   0.60 QQ/M3</t>
  </si>
  <si>
    <t xml:space="preserve">K ACERO </t>
  </si>
  <si>
    <t xml:space="preserve">EXCAVACION </t>
  </si>
  <si>
    <t>RELLENO</t>
  </si>
  <si>
    <t>ZAPATA DE MURO 0.60 qq/M3</t>
  </si>
  <si>
    <t>BLOCK 6" ( 3 LINEA )</t>
  </si>
  <si>
    <t>LOMO DE PERRO</t>
  </si>
  <si>
    <t>TUBO 1 1/2"X15' H.G.</t>
  </si>
  <si>
    <t>TUBO 1 1/4"X20' H.G.</t>
  </si>
  <si>
    <t>MALLA CICLONICA No.9</t>
  </si>
  <si>
    <t>COPA DE 2"</t>
  </si>
  <si>
    <t>COPA DE 1 1/2"</t>
  </si>
  <si>
    <t>PALOMETA DOBLE</t>
  </si>
  <si>
    <t>ALAMBRE DE PUAS</t>
  </si>
  <si>
    <t>ALAMBRE DULCE NO.18</t>
  </si>
  <si>
    <t xml:space="preserve">PAÑETE MURO </t>
  </si>
  <si>
    <t>PINTURA VERJA , PALOMETAS, TUBOS , ALAMBRES Y DESP.</t>
  </si>
  <si>
    <t xml:space="preserve">PLANCHUELAS 1 x 1/8 </t>
  </si>
  <si>
    <t>ABRAZADERAS 1 1/2 METAL</t>
  </si>
  <si>
    <t>PINTURA LOMO DE PERRO Y MURO</t>
  </si>
  <si>
    <t>TOTAL GENERAL ANAL.VERJA</t>
  </si>
  <si>
    <t>COSTO POR M/L</t>
  </si>
  <si>
    <t>COSTO P/M</t>
  </si>
  <si>
    <t>ZAPATA DE COLUMNAS - 1.14 QQ/M3</t>
  </si>
  <si>
    <t>COSTO P/M3</t>
  </si>
  <si>
    <t>H.S. 210 KG/CM2+5% DESP.</t>
  </si>
  <si>
    <t>ENC. Y DESEC.</t>
  </si>
  <si>
    <t>Aplicación (dos manos).</t>
  </si>
  <si>
    <t>Desperdicios y retoques.</t>
  </si>
  <si>
    <t>%</t>
  </si>
  <si>
    <t xml:space="preserve"> EN CASETA DE CLORACION</t>
  </si>
  <si>
    <t>H.S. 180 KG/CM2+5% DESP.</t>
  </si>
  <si>
    <t>PUERTA DE HIERRO ( 2.10 x 0.90 ) M</t>
  </si>
  <si>
    <t>SUM. DE BARRAS DE ACERO ½" x ½"</t>
  </si>
  <si>
    <t xml:space="preserve">CORTES </t>
  </si>
  <si>
    <t>DIAS</t>
  </si>
  <si>
    <t>SORDADURAS</t>
  </si>
  <si>
    <t>PINTURA DE OXIDO ROJO</t>
  </si>
  <si>
    <t>PINTURA DE MANTENIMIENTO</t>
  </si>
  <si>
    <t>COSTO P/ U</t>
  </si>
  <si>
    <t>COSTO P/ M2</t>
  </si>
  <si>
    <t>COSTO P/ P2</t>
  </si>
  <si>
    <t>EQUIPOS DE CORTE Y SOLDADURA</t>
  </si>
  <si>
    <t>MOTOSOLDADORA</t>
  </si>
  <si>
    <t>SOLDADORA</t>
  </si>
  <si>
    <t>COMBUSTIBLE (GASOLINA) ( 0.06 x.HP.x 8 )</t>
  </si>
  <si>
    <t>LUBRICANTE 20% DEL COMBUSTIBLE</t>
  </si>
  <si>
    <t>HERRAMIENTAS</t>
  </si>
  <si>
    <t>COSTO P/DIA</t>
  </si>
  <si>
    <t>COSTO P/ HR</t>
  </si>
  <si>
    <t>EQUIPO DE CORTES</t>
  </si>
  <si>
    <t>EQUIPO DE CORTE</t>
  </si>
  <si>
    <t>OXIGENO</t>
  </si>
  <si>
    <t>CIL</t>
  </si>
  <si>
    <t>MOVIMIENTOS DE TIERRA</t>
  </si>
  <si>
    <t xml:space="preserve"> (REND. = 36.60 M3/DIA = 4.575 M3/HR)</t>
  </si>
  <si>
    <t>HR</t>
  </si>
  <si>
    <t>HERRAMIENTAS ( 3% DE M.O.)</t>
  </si>
  <si>
    <t>REND.</t>
  </si>
  <si>
    <t>M3/HR</t>
  </si>
  <si>
    <t>SUM. Y COL.  DE ASIENTO DE ARENA</t>
  </si>
  <si>
    <t>REND</t>
  </si>
  <si>
    <t>M3          PEONES</t>
  </si>
  <si>
    <t>SUMINISTRO DE ARENA</t>
  </si>
  <si>
    <t>CORTE Y DESBROSE</t>
  </si>
  <si>
    <t>HERRAMIENTAS MENORES 3%</t>
  </si>
  <si>
    <t>COSTO TOTAL RD$</t>
  </si>
  <si>
    <t>COSTO / DIA RD$</t>
  </si>
  <si>
    <t>COSTO / M2 RD$</t>
  </si>
  <si>
    <t xml:space="preserve"> EN DEPOSITO REGULADOR</t>
  </si>
  <si>
    <t>MUROS 0.15 - 3.01 QQ/M3</t>
  </si>
  <si>
    <t>LOSA DE TECHO  0.10 - 1.09 QQ/M3</t>
  </si>
  <si>
    <t>BORDILLO H.A. PARA TAPA ( 0.15 x 0.10 ) - 1.40 QQ/M3</t>
  </si>
  <si>
    <t>DINTEL ( 0.15 x 0.20 ) - 0.10 QQ/M3</t>
  </si>
  <si>
    <t>LOSA DE TECHO  0.10 - 1.17 QQ/M3</t>
  </si>
  <si>
    <t>H.S. 240 KG/CM2+5% DESP.</t>
  </si>
  <si>
    <t>GAS PROPANO DE 100 LB ( 22.5 GLS )</t>
  </si>
  <si>
    <t>PART.</t>
  </si>
  <si>
    <t>REGISTRO PARA VALVULAS</t>
  </si>
  <si>
    <t>PRELIMINARES</t>
  </si>
  <si>
    <t xml:space="preserve">REPLANTEO </t>
  </si>
  <si>
    <t>MUROS</t>
  </si>
  <si>
    <t xml:space="preserve">BLOCK 6"  </t>
  </si>
  <si>
    <t>TERMINACION</t>
  </si>
  <si>
    <t>PAÑETE EN MURO DE BLOCK</t>
  </si>
  <si>
    <t xml:space="preserve">CANTOS  </t>
  </si>
  <si>
    <t>COSTO / UD  R.D.$</t>
  </si>
  <si>
    <t>REGISTRO DE BLOCK PARA VALVULA DE Ø3"( 1.30x1.30x1.40 )</t>
  </si>
  <si>
    <t xml:space="preserve">  A CAMARA LLENA COSTO / M2R.D.$</t>
  </si>
  <si>
    <t>LOSA DE FONDO  0.15 - 2.59 qq/M3</t>
  </si>
  <si>
    <t>LOSA DE TECHO  0.12 - 1.62 qq/M3</t>
  </si>
  <si>
    <t xml:space="preserve">BOTE DE MATERIAL  </t>
  </si>
  <si>
    <t>LOSA DE TECHO  0.12 - 1.62 QQ/M3</t>
  </si>
  <si>
    <t>LOSA DE FONDO 0.15 - 2.59 QQ/M3</t>
  </si>
  <si>
    <t>H.S. 210 KG/CM2</t>
  </si>
  <si>
    <t>ENC.Y DESENC.</t>
  </si>
  <si>
    <t>COSTO / M3 R.D.$</t>
  </si>
  <si>
    <t>TAPAS</t>
  </si>
  <si>
    <t>PERSONAL P/INSTALACION</t>
  </si>
  <si>
    <t>COSTO / UD R.D.$</t>
  </si>
  <si>
    <t>TAPAS DE H.A. ( 0.80 x 0.80 x 0.10 )M - 1.68 qq/M3</t>
  </si>
  <si>
    <t>TAPA DE H.A  ( 0.80 x 0.80 )</t>
  </si>
  <si>
    <t>PISO H.S PULIDO A COLOR</t>
  </si>
  <si>
    <t>PISO H.S FROTADO</t>
  </si>
  <si>
    <t>SUMINISTRO TUBERIA 3/4" H.G.</t>
  </si>
  <si>
    <t>CORTE</t>
  </si>
  <si>
    <t>SOLDADURA</t>
  </si>
  <si>
    <t>PUNTURA DE OXIDO ROJO</t>
  </si>
  <si>
    <t>PUNTURA DE MANTENIMIETO</t>
  </si>
  <si>
    <t>COSTO /UD RD$</t>
  </si>
  <si>
    <t>COSTO /ML RD$</t>
  </si>
  <si>
    <t>ALQUILER DE CAT 416</t>
  </si>
  <si>
    <t xml:space="preserve">COMBUSTIBLE </t>
  </si>
  <si>
    <t>LUBRICANTE</t>
  </si>
  <si>
    <t>GL/H</t>
  </si>
  <si>
    <t>GL / H</t>
  </si>
  <si>
    <t>RENDIMIENTO</t>
  </si>
  <si>
    <t>M3 / H</t>
  </si>
  <si>
    <t>COSTO P/HR</t>
  </si>
  <si>
    <t>CUÑAS Y PIEZAS</t>
  </si>
  <si>
    <t>ALQUILER DE CAT 320</t>
  </si>
  <si>
    <t>ANTEPECHO</t>
  </si>
  <si>
    <t>MURO DE BLOCK 6"</t>
  </si>
  <si>
    <t>PAÑETE</t>
  </si>
  <si>
    <t>ESCALERAS H= 1.85 Ø 3/4"</t>
  </si>
  <si>
    <t>PUERTA DE MALLA CICLONICA 3 ML.</t>
  </si>
  <si>
    <t>COPA 1 1/2"</t>
  </si>
  <si>
    <t>MALLA CICLONICA</t>
  </si>
  <si>
    <t>PLANCHUELAS 1X1/8"</t>
  </si>
  <si>
    <t>ALAMBRE No.8</t>
  </si>
  <si>
    <t>LIBRA</t>
  </si>
  <si>
    <t>PERSONAL:</t>
  </si>
  <si>
    <t>AYUDANTE  CALIFICADO</t>
  </si>
  <si>
    <t>PEON (UNO)</t>
  </si>
  <si>
    <t>CANDADO</t>
  </si>
  <si>
    <t>PORTA CANDADO</t>
  </si>
  <si>
    <t>BISAGRA</t>
  </si>
  <si>
    <t xml:space="preserve">ALAMBRE DE PUAS </t>
  </si>
  <si>
    <t xml:space="preserve">PINTURA </t>
  </si>
  <si>
    <t>INSTALACION</t>
  </si>
  <si>
    <t>TOTAL PUERTA MALLA CICLONICA</t>
  </si>
  <si>
    <t>COSTO/UD        RD$</t>
  </si>
  <si>
    <t>COLUMNAS C2, P / LAS ESQUINAS - 3.63 QQ/M3</t>
  </si>
  <si>
    <t>COLUMNAS C1 0.15X0.15 - 8.15QQ/M3  F'C=180KG/CM2</t>
  </si>
  <si>
    <t xml:space="preserve">VOLUMEN C1 /UD = </t>
  </si>
  <si>
    <t>MAESTRO  SOLDADOR ( UNO )</t>
  </si>
  <si>
    <t xml:space="preserve">VOLUMEN C2 /UD = </t>
  </si>
  <si>
    <t>COLUMAS C1 (0.15x0.15) - 8.15 QQ/M3</t>
  </si>
  <si>
    <t>TUB.1 1/2"X15' H.G.</t>
  </si>
  <si>
    <t xml:space="preserve">EXC. MATERIAL NO CLASIFICADO A MANO </t>
  </si>
  <si>
    <t xml:space="preserve">EXC. MATERIAL COMPACTADO NO CLASIFICADO A MANO </t>
  </si>
  <si>
    <t>EXC. MATERIAL NO CLASIFICADO C / EQUIPO ( RETRO PALA, 416 )</t>
  </si>
  <si>
    <t xml:space="preserve">EXC. MATERIAL NO CLASIF. C/EQUIPO ( RETRO Cat 320 ) </t>
  </si>
  <si>
    <t>Pintura (cubeta de 5gls=$500)</t>
  </si>
  <si>
    <t>TOTAL GENERAL ANAL.VERJA C/ C1 INC.</t>
  </si>
  <si>
    <t>COSTO POR M/L C/ C1 INCLUIDA</t>
  </si>
  <si>
    <r>
      <t xml:space="preserve">  </t>
    </r>
    <r>
      <rPr>
        <b/>
        <sz val="10"/>
        <color indexed="12"/>
        <rFont val="Arial"/>
        <family val="2"/>
      </rPr>
      <t>SNP</t>
    </r>
    <r>
      <rPr>
        <b/>
        <sz val="10"/>
        <rFont val="Arial"/>
        <family val="2"/>
      </rPr>
      <t xml:space="preserve"> COSTO/M2R.D.$</t>
    </r>
  </si>
  <si>
    <r>
      <t xml:space="preserve">  </t>
    </r>
    <r>
      <rPr>
        <b/>
        <sz val="10"/>
        <color indexed="12"/>
        <rFont val="Arial"/>
        <family val="2"/>
      </rPr>
      <t>BNP</t>
    </r>
    <r>
      <rPr>
        <b/>
        <sz val="10"/>
        <rFont val="Arial"/>
        <family val="2"/>
      </rPr>
      <t xml:space="preserve"> COSTO / M2R.D.$</t>
    </r>
  </si>
  <si>
    <t>PINTURA ACRILICA ECONOMICA SIN ANDAMIO :</t>
  </si>
  <si>
    <t>PINTURA (cubeta de 5gls=$650)</t>
  </si>
  <si>
    <t>APLICACION (dos manos).</t>
  </si>
  <si>
    <t>DESPERDICIOS Y RETOQUES.</t>
  </si>
  <si>
    <t>COSTO P/M2 RD$</t>
  </si>
  <si>
    <t>PINTURA BASE BLANCA ( DURAFLEX DE TROPICAL ) SIN ANDAMIO :</t>
  </si>
  <si>
    <t>LUBRICANTE 20%</t>
  </si>
  <si>
    <t>X</t>
  </si>
  <si>
    <t xml:space="preserve">CORTE C/EQUIPO ( TRACTOR D-8-K ) </t>
  </si>
  <si>
    <t>TIERRA</t>
  </si>
  <si>
    <t>CALICHE COMPACTO</t>
  </si>
  <si>
    <t>SISTEMA DE CLORACION</t>
  </si>
  <si>
    <t>CLORADOR</t>
  </si>
  <si>
    <t>MANO OBRA INSTALACION</t>
  </si>
  <si>
    <t>CILINDRO DE CLORO GAS LENO</t>
  </si>
  <si>
    <t xml:space="preserve">PUNTO DE APLICACION </t>
  </si>
  <si>
    <t>BOMBA DE 3/4" H.P DE 150 PSI</t>
  </si>
  <si>
    <t>PROV</t>
  </si>
  <si>
    <t>ZONA</t>
  </si>
  <si>
    <t>TRANSP. %</t>
  </si>
  <si>
    <t>PERS.</t>
  </si>
  <si>
    <t>DISTRITO NACIONAL</t>
  </si>
  <si>
    <t>II</t>
  </si>
  <si>
    <t>VI</t>
  </si>
  <si>
    <t>I</t>
  </si>
  <si>
    <t>III</t>
  </si>
  <si>
    <t>V</t>
  </si>
  <si>
    <t>VIII</t>
  </si>
  <si>
    <t>IV</t>
  </si>
  <si>
    <t>VII</t>
  </si>
  <si>
    <t>ASISTENTE DE DEPTO COSTOS</t>
  </si>
  <si>
    <t>GENERAL</t>
  </si>
  <si>
    <t>GRAL</t>
  </si>
  <si>
    <t>Zona:</t>
  </si>
  <si>
    <t>ING. ANA MATEO</t>
  </si>
  <si>
    <t>ING. FRANCIS HEREDIA</t>
  </si>
  <si>
    <t>ING. JOEL FRANCISCO</t>
  </si>
  <si>
    <t>ING. MIGUEL PEREZ</t>
  </si>
  <si>
    <t>ING. OSCAR ENCARNACION</t>
  </si>
  <si>
    <t>ING. PABLO GUERRERO</t>
  </si>
  <si>
    <t>ING. RAMONA MONTAS</t>
  </si>
  <si>
    <t>ING. RAMONA TEJADA</t>
  </si>
  <si>
    <t>ING. SANDRA BATISTA</t>
  </si>
  <si>
    <t>ARQ. YRMA ESPINOSA</t>
  </si>
  <si>
    <t>ING. ZULIKA ROSARIO</t>
  </si>
  <si>
    <t>ING. CLAUDIA DE LEON</t>
  </si>
  <si>
    <t>ARQ. MEYVER PUJOLS</t>
  </si>
  <si>
    <t>ING.MARIANO PEREZ</t>
  </si>
  <si>
    <t>ING.MARIA MORALES</t>
  </si>
  <si>
    <t>ARQ.JENNY SABA</t>
  </si>
  <si>
    <t>ELABORADO</t>
  </si>
  <si>
    <t>PREPARADO</t>
  </si>
  <si>
    <t>REVISADO</t>
  </si>
  <si>
    <t xml:space="preserve">* * * INAPA * * * </t>
  </si>
  <si>
    <t>Contratista:</t>
  </si>
  <si>
    <t>Contrato:</t>
  </si>
  <si>
    <t>Rec. No.</t>
  </si>
  <si>
    <t>DEPARTAMENTO DE EVALUACION DE COSTOS DE OBRAS</t>
  </si>
  <si>
    <t>ENC. DEPTO. DE EVAL. DE COSTOS DE OBRAS.</t>
  </si>
  <si>
    <t>ING.TERESA M. LLUBERES M EJIA</t>
  </si>
  <si>
    <t>ARQ. DEPTO. EVAL. DE COSTOS DE OBRAS</t>
  </si>
  <si>
    <t>ING. DEPTO. DE EVAL. DE COSTOS DE OBRAS</t>
  </si>
  <si>
    <t>PROVINCIA AZUA</t>
  </si>
  <si>
    <t>PROVINCIA BAHORUCO</t>
  </si>
  <si>
    <t>PROVINCIA BARAHONA</t>
  </si>
  <si>
    <t>PROVINCIA DAJABON</t>
  </si>
  <si>
    <t>PROVINCIA DUARTE</t>
  </si>
  <si>
    <t>PROVINCIA EL SEYBO</t>
  </si>
  <si>
    <t>PROVINCIA ELIAS PIÑAS</t>
  </si>
  <si>
    <t>PROVINCIA ESPAILLAT</t>
  </si>
  <si>
    <t>PROVINCIA HATO MAYOR</t>
  </si>
  <si>
    <t>PROVINCIA HERMANAS MIRABAL</t>
  </si>
  <si>
    <t>PROVINCIA INDEPENDENCIA</t>
  </si>
  <si>
    <t>PROVINCIA LA ALTAGRACIA</t>
  </si>
  <si>
    <t>PROVINCIA LA ROMANA</t>
  </si>
  <si>
    <t>PROVINCIA LA VEGA</t>
  </si>
  <si>
    <t>PROVINCIA MARIA TRINIDAD SANCHEZ</t>
  </si>
  <si>
    <t>PROVINCIA MONSEÑOR  NOUEL</t>
  </si>
  <si>
    <t>PROVINCIA MONTE CRITI</t>
  </si>
  <si>
    <t>PROVINCIA MONTE PLATA</t>
  </si>
  <si>
    <t>PROVINCIA PEDERNALES</t>
  </si>
  <si>
    <t>PROVINCIA PERAVIA</t>
  </si>
  <si>
    <t>PROVINCIA PUERTO PLATA</t>
  </si>
  <si>
    <t>PROVINCIA SAMANA</t>
  </si>
  <si>
    <t>PROVINCIA SAN CRISTOBAL</t>
  </si>
  <si>
    <t>PROVINCIA SAN JOSE DE OCOA</t>
  </si>
  <si>
    <t>PROVINCIA SAN JUAN</t>
  </si>
  <si>
    <t>PROVINCIA SAN PEDRO DE MACORIS</t>
  </si>
  <si>
    <t>PROVINCIA SANCHEZ RAMIREZ</t>
  </si>
  <si>
    <t>PROVINCIA SANTIAGO</t>
  </si>
  <si>
    <t>ALQUILER DE MAQUINA</t>
  </si>
  <si>
    <t>SOLDADOR</t>
  </si>
  <si>
    <t>AYUIDANTES ( 2 H ) @ 900.00/H/DIA</t>
  </si>
  <si>
    <t>PEON (10  @ RD$ 650 P/DIA C/U)</t>
  </si>
  <si>
    <t>PEON (10  @ RD$650 P/DIA C/U)</t>
  </si>
  <si>
    <t>OPERARIO RD% 1,300.00 / DIA</t>
  </si>
  <si>
    <t>MAESTRO RD$ 1,500.00/DIA</t>
  </si>
  <si>
    <t>OPERARIO RD$ 1,300.00 /DIA</t>
  </si>
  <si>
    <t>COLOCACION ( 2 PEONES ) @ 650.00</t>
  </si>
  <si>
    <t>MAESTRO @ 1,500.00 /DIA ( 1U )</t>
  </si>
  <si>
    <t>PEONES @ 650.00 /DIA ( 5 U )</t>
  </si>
  <si>
    <t>DIRECCION DE INGENIERIA</t>
  </si>
  <si>
    <t>BOTE</t>
  </si>
  <si>
    <t>Ubicación: SAN CRISTOBAL</t>
  </si>
  <si>
    <t>Analisis: PRES. xxx d/f 12/03/2013</t>
  </si>
  <si>
    <t>TRANSPORTE DESDE YAGUATE</t>
  </si>
  <si>
    <t>PINTURA</t>
  </si>
  <si>
    <t>BOTE DE MATERIAL</t>
  </si>
  <si>
    <t>REGISTRO PARA VALVULAS DE AIRE</t>
  </si>
  <si>
    <t xml:space="preserve">TUBO DE H.S. 30" </t>
  </si>
  <si>
    <t xml:space="preserve">BASE DE H.S. </t>
  </si>
  <si>
    <t>TAPA DE H.S.</t>
  </si>
  <si>
    <t>COSTO/U  RD$</t>
  </si>
  <si>
    <t>P</t>
  </si>
  <si>
    <t>VIGA PERIMETRAL SECCION TRAPEZOIDAL (.(30+20)/2) X 0.15 - 4.36 QQ/M3</t>
  </si>
  <si>
    <t>CASETA PARA POZO TECHO DESLIZABLE</t>
  </si>
  <si>
    <t>ZAPATA DE MURO 0.36 QQ/M3</t>
  </si>
  <si>
    <t>VIGA 0.20 x 0.30 - 3.56 QQ/M3</t>
  </si>
  <si>
    <t>DINTEL 0.20 x 0.15 - 3.89 QQ/M3</t>
  </si>
  <si>
    <t>SOPORTE DE CORREDERA  0.89 QQ/M3</t>
  </si>
  <si>
    <t>COLUMNA 0.20 x 0.15 - 4.58 QQ/M3</t>
  </si>
  <si>
    <t>MANO DE ACERO</t>
  </si>
  <si>
    <t>RAMPA DE ACCESO  0.05 QQ/M3</t>
  </si>
  <si>
    <t>BASE PARA MOTOR Y BOMBEO (0.80 x 0.80 x 0.20) - 2.59 QQ/M3</t>
  </si>
  <si>
    <t>VOLUMNE DE BASE H.S.</t>
  </si>
  <si>
    <t>TECHO CORREDIZO EN TOLA</t>
  </si>
  <si>
    <t>ALUZINC CAL 26</t>
  </si>
  <si>
    <t>ZINC LISO</t>
  </si>
  <si>
    <t>ANGULARES DE 1½" x 1½" x 3/16" P TIJERILLA</t>
  </si>
  <si>
    <t xml:space="preserve">CHANNEL  DE 4" x ½ " </t>
  </si>
  <si>
    <t>PERFIL CUADRADO 2" x 1 " PARA CORREAS</t>
  </si>
  <si>
    <t>ELECTRODOS DISCO DE CORTE, TORNILLOS Y PINTURA</t>
  </si>
  <si>
    <t>MANO DE OBRA  ( INC SOLDADORA )</t>
  </si>
  <si>
    <t>CABALLETE</t>
  </si>
  <si>
    <t>ANGULAR  DE 2" x 2" x 1/4"</t>
  </si>
  <si>
    <t xml:space="preserve">CAJA DE BOLA </t>
  </si>
  <si>
    <t>PUERTA FRONTAL ( 2.70 x 4.00 )M</t>
  </si>
  <si>
    <t>PERFIL CUADRADO 2" x 1"</t>
  </si>
  <si>
    <t>MALLA METAL DES,P ( 4" x 8 x ½" )</t>
  </si>
  <si>
    <t>PESTILLO</t>
  </si>
  <si>
    <t>BISAGRAS</t>
  </si>
  <si>
    <t>BASTON</t>
  </si>
  <si>
    <t>ELECTRODOS, DISCO DE CORTE Y PINTURA</t>
  </si>
  <si>
    <t>COSTO/U RD$</t>
  </si>
  <si>
    <t>COSTO/P2 RD$</t>
  </si>
  <si>
    <t>PUERTA TRASERA ( 2.10 x 0.9 )M</t>
  </si>
  <si>
    <t>BARRA CUADRADA DE ½"</t>
  </si>
  <si>
    <t>TOLA LISA 1/16"</t>
  </si>
  <si>
    <t>CASETA PARA GENERADOR 100-200 KV</t>
  </si>
  <si>
    <t>COLUMNA 0.20 x 0.20 - 4.58 QQ/M3</t>
  </si>
  <si>
    <t>ZAPATA DE MURO 0.79 QQ/M3</t>
  </si>
  <si>
    <t>VIGA 0.20 x 0.25 - 11.14 QQ/M3</t>
  </si>
  <si>
    <t>DINTEL 0.20 x 0.15 - 5.00 QQ/M3</t>
  </si>
  <si>
    <t>LOSA DE TECHO  0.13 - 1.05 QQ/M3</t>
  </si>
  <si>
    <t>LOSA DE TECHO  0.10 - 1.48 QQ/M3</t>
  </si>
  <si>
    <t>BASE H.A. P/PLANTA  ( 3.2 x 1.85 )M   0.63 QQ/M3</t>
  </si>
  <si>
    <t>ESTRUCTURA DE SOPORTE PARA DEPOSTO DE COMBUSTIBLE DE 500 GLS</t>
  </si>
  <si>
    <t>ZAPATA DE MURO 1.36 QQ/M3</t>
  </si>
  <si>
    <t>MURO DE H.A.  0.20 - 3.93  QQ/M3</t>
  </si>
  <si>
    <t>TINA PARA DERRAME DE COMBUSTIBLE DE 500 GLS</t>
  </si>
  <si>
    <t>GARITA PARA VIGILANCIA TIPO 2</t>
  </si>
  <si>
    <t>LOSA DE TECHO  0.10 - 2.31 QQ/M3</t>
  </si>
  <si>
    <t>LOSA DE FONDO  0.20 - 0.72  QQ/M3</t>
  </si>
  <si>
    <t>ZAPATA DE MURO 0.74 QQ/M3</t>
  </si>
  <si>
    <t>PUERTA ENRROLLABLE (2.30 X2.40 )M</t>
  </si>
  <si>
    <t>VOLUMNE ZAPATA DE COLUMNA</t>
  </si>
  <si>
    <t>TOTAL COLUMNA C2 INC. ZAPATA</t>
  </si>
  <si>
    <t xml:space="preserve">MOSAICOS GRANITO P/ PISO 40 x 40 </t>
  </si>
  <si>
    <t>PreParación terreno.</t>
  </si>
  <si>
    <t>Baldosas + transPorte + 10% desP. + itbis</t>
  </si>
  <si>
    <t>Corte de chazos.</t>
  </si>
  <si>
    <t>Derreterido blanco + 10% desP.</t>
  </si>
  <si>
    <t>Colocación.</t>
  </si>
  <si>
    <t>PUlido y cristalizado.</t>
  </si>
  <si>
    <t>ZOCALO GRANITO 40 x 07</t>
  </si>
  <si>
    <t>Mortero 1:3 + 5% desP.</t>
  </si>
  <si>
    <t>Lechada ceMento con color + 10% desP.</t>
  </si>
  <si>
    <t>MATERIAL PARA RELLENO</t>
  </si>
  <si>
    <t>SUMINISTRO</t>
  </si>
  <si>
    <t>COSTO/M3 RD$</t>
  </si>
  <si>
    <t>COLOCACION</t>
  </si>
  <si>
    <t>SUMINISTRO Y COLOCACION.</t>
  </si>
  <si>
    <t>HorM. 1:10 + 5% desP. h=.10 M.</t>
  </si>
  <si>
    <t>A</t>
  </si>
  <si>
    <t>D</t>
  </si>
  <si>
    <t xml:space="preserve">LOSA DE FONDO </t>
  </si>
  <si>
    <t>LOSA DE TECHO</t>
  </si>
  <si>
    <t>LOSA DE TECHO  0.15 - 1.09 QQ/M3</t>
  </si>
  <si>
    <t>LOSA DE FONDO 0.20 - 1.49 QQ/M3</t>
  </si>
  <si>
    <t>COLUMNA C1</t>
  </si>
  <si>
    <t>COLUMNAS C1 0.30X0.30 - 8.15QQ/M3  F'C=240KG/CM2</t>
  </si>
  <si>
    <t xml:space="preserve">ZAPATA DE COLUMNA </t>
  </si>
  <si>
    <t>H.S. 240KG/CM2+5% DESP.</t>
  </si>
  <si>
    <t>ZAPATA DE MURO</t>
  </si>
  <si>
    <t xml:space="preserve">VIGA 0.30 x 0.30 </t>
  </si>
  <si>
    <t>ZAPATA DE COLUMNAS - 0.865 QQ/M3</t>
  </si>
  <si>
    <t>COLUMNAS C2, P / LAS ESQUINAS - 4.7QQ/M3</t>
  </si>
  <si>
    <t>COLUMNAS C1 0.15X0.15 - 6.26QQ/M3  F'C=240KG/CM2</t>
  </si>
  <si>
    <t>DEPOSITO REGULADOR 250M3 HA SUPERFICIAL</t>
  </si>
  <si>
    <t>H.S. 240 KG/CM2</t>
  </si>
  <si>
    <t>H.S. H.S. 240 KG/CM2</t>
  </si>
  <si>
    <t>H.S H.S. 240KG/CM2</t>
  </si>
  <si>
    <t>ACERO+M.O+ALAMBRE</t>
  </si>
  <si>
    <t xml:space="preserve">ECCF Y DESC </t>
  </si>
  <si>
    <t>M.O. ACERO</t>
  </si>
  <si>
    <t>H.S. 180 KG/CM2</t>
  </si>
  <si>
    <t>ZAPATA DE MURO 0.67QQ/M3 zap.col.</t>
  </si>
  <si>
    <t>LOSA DE FONDO 1.06QQ/M3</t>
  </si>
  <si>
    <t>MUROS 0.20-3.75QQ/M3</t>
  </si>
  <si>
    <t>ZAPATA DE COLUMNA CENTRAL 1.99QQ/M3</t>
  </si>
  <si>
    <t>COLUMNA CENTRAL 0.30*0.30 3.91QQ/M3</t>
  </si>
  <si>
    <t>COLUMNA LATERAL 0.30*0.30*2.97</t>
  </si>
  <si>
    <t>LOSA DE TECHO 0.15-1.1QQ/M3</t>
  </si>
  <si>
    <t>VIGA 0.30*0.30*4.75QQ/M3</t>
  </si>
  <si>
    <t>Obra: ACUEDUCTO CANOA EXTE. A AC. ASURO</t>
  </si>
  <si>
    <t>PIEDRAS:</t>
  </si>
  <si>
    <t xml:space="preserve">COSTO /M3 RD$ </t>
  </si>
  <si>
    <t>ENCACHE</t>
  </si>
  <si>
    <t xml:space="preserve">CEMENTO GRIS </t>
  </si>
  <si>
    <t>PIEDRA</t>
  </si>
  <si>
    <t>MADERA Y CLAVOS</t>
  </si>
  <si>
    <t>COLOC. DE PIEDRA</t>
  </si>
  <si>
    <t>PREPARACION DE MORTERO</t>
  </si>
  <si>
    <t>PRECIO DE ENCACHE No 1  =</t>
  </si>
  <si>
    <t>MT</t>
  </si>
  <si>
    <t>PRECIO DE ENCACHE No 2  =</t>
  </si>
  <si>
    <t>CANALETAS ENCACHADAS</t>
  </si>
  <si>
    <t>( 0.80 x 0.40 x 0.8 )</t>
  </si>
  <si>
    <t>CANALETA ENCACHADA  0.80 ;  L=</t>
  </si>
  <si>
    <t>M ;ESP</t>
  </si>
  <si>
    <t>EXCAVACION  MAT.  NO  CLASIF. MANO</t>
  </si>
  <si>
    <t>MATERIAL GRANULAR</t>
  </si>
  <si>
    <t>TORTA DE HORMIGON  SIMPLE</t>
  </si>
  <si>
    <t>ENCACHE DE PIEDRA</t>
  </si>
  <si>
    <t xml:space="preserve">COSTO TOTAL RD$ </t>
  </si>
  <si>
    <t xml:space="preserve">COSTO /M.L. RD$ </t>
  </si>
  <si>
    <t>ARENA ITABO</t>
  </si>
  <si>
    <t>COLUMNAS VERJA MALLA CILONICA</t>
  </si>
  <si>
    <t>HORMIGON   COLUMNA C1</t>
  </si>
  <si>
    <t>&gt;&gt;&gt;&gt;&gt;&gt;&gt;&gt;&gt;&gt;&gt;&gt;&gt;&gt;&gt;&gt;&gt;&gt;&gt;&gt;&gt;&gt;&gt;&gt;&gt;&gt;&gt;&gt;&gt;&gt;&gt;&gt;&gt;</t>
  </si>
  <si>
    <t>COLUMNAS C2 INCLUYE ZAPATA</t>
  </si>
  <si>
    <t>COLUMNAS C2 0.25X0.25 - 4.79QQ/M3  F'C=180KG/CM2</t>
  </si>
  <si>
    <t xml:space="preserve">$ / UD = </t>
  </si>
  <si>
    <t>/UD</t>
  </si>
  <si>
    <t>ZAPATA 0.75X0.75 - 1.43QQ/M3  F'C=180KG/CM2</t>
  </si>
  <si>
    <t xml:space="preserve">VOLUMEN Z /UD = </t>
  </si>
  <si>
    <t>HORMIGON   COLUMNA C2 INC. ZAPATA</t>
  </si>
  <si>
    <t>COLUMNA C2 INC. ZAPATA</t>
  </si>
  <si>
    <t>VERJA MMALA CICLONICA (ANALISIS PARA 12.00  M)</t>
  </si>
  <si>
    <t>ZAPATA DE MURO 0.25-0.60 qq/m³</t>
  </si>
  <si>
    <t>K ACERO</t>
  </si>
  <si>
    <t>MANO DE OBRA ACERO</t>
  </si>
  <si>
    <t>COSTO/m³        RD$</t>
  </si>
  <si>
    <t>EXCAVACION</t>
  </si>
  <si>
    <t>ZAPATA DE MURO 0.60 qq/m³</t>
  </si>
  <si>
    <t>BLOCK 6" ( 3 LINEAS )</t>
  </si>
  <si>
    <t>LOMA DE PERRO</t>
  </si>
  <si>
    <t>TUBERIA 1½" x 15' H.G.</t>
  </si>
  <si>
    <t>TUBERIA 1¼" x 20' H.G.</t>
  </si>
  <si>
    <t>COPAS 2"</t>
  </si>
  <si>
    <t>COPAS 1½"</t>
  </si>
  <si>
    <t>BARRAS TENSORAS 1"x⅛"</t>
  </si>
  <si>
    <t>ABRAZADERAS 1½" METAL</t>
  </si>
  <si>
    <t>MALLA CICLÓNICA Nº 9</t>
  </si>
  <si>
    <t>ALAMBRE DULCE  Nº 18</t>
  </si>
  <si>
    <t>PAÑETE DE MURO</t>
  </si>
  <si>
    <t>PINTURA MALLA, PALOMETA, TUBOS Y ALAMBRE</t>
  </si>
  <si>
    <t>TOTAL GENERAL ANALISIS VERJA</t>
  </si>
  <si>
    <t>REPLANTEO PARA VERJA</t>
  </si>
  <si>
    <t>MADERA</t>
  </si>
  <si>
    <t>PT</t>
  </si>
  <si>
    <t>CLAVOS  DULCE 2½"</t>
  </si>
  <si>
    <t>NYLON</t>
  </si>
  <si>
    <t>ROLLO</t>
  </si>
  <si>
    <t>PERSONAL::</t>
  </si>
  <si>
    <t>CARPINTERO (OP2) @900.00/DIA</t>
  </si>
  <si>
    <t>TECNICADO CALIFICADO @ 780.00/DIA</t>
  </si>
  <si>
    <t>HERRAMIENTAS MENORES</t>
  </si>
  <si>
    <t>COSTO/M RD$</t>
  </si>
  <si>
    <t>OPERADOR ( OP 1ERA )@1,200.00/DIA</t>
  </si>
  <si>
    <t>AYUDANTE @ 950.00/DIA</t>
  </si>
  <si>
    <t>PEONES ( 2U )  @ 650.00/DIA</t>
  </si>
  <si>
    <t>RENIDIMIENTO</t>
  </si>
  <si>
    <t>M/DIA</t>
  </si>
  <si>
    <t>COSTO/DIA RD$</t>
  </si>
  <si>
    <t>SOLO COLOCACION MALLA CICLONICA</t>
  </si>
  <si>
    <t>REPLANTEO PARA TUBERIAS</t>
  </si>
  <si>
    <t>CINTA METRICA 100 USO</t>
  </si>
  <si>
    <t>COSTO/DIA</t>
  </si>
  <si>
    <t>COSTO / M RD$</t>
  </si>
  <si>
    <t>JUNTA DE GOMA 9". WATER STOP</t>
  </si>
  <si>
    <t>SUMINISTRO JUNTA DE GOMA 9"</t>
  </si>
  <si>
    <t>DESP. DE JUNTA (NO PERMITE EMPATE ).15%</t>
  </si>
  <si>
    <t>M.O INSTALACION</t>
  </si>
  <si>
    <t>CTO/M RD$</t>
  </si>
  <si>
    <t>CONTEN (TELFORD)</t>
  </si>
  <si>
    <t>Area de sección:  0.10 M2</t>
  </si>
  <si>
    <t>VolUMen analizado:  1.00 M3</t>
  </si>
  <si>
    <t>VolUMen / Metro:  0.10 M3</t>
  </si>
  <si>
    <t>LongitUd total:  10.00 M</t>
  </si>
  <si>
    <t>Madera (110 P2 / 10 Usos + 10% desP.).</t>
  </si>
  <si>
    <t>Clavos (5 LB. / 100 P2).</t>
  </si>
  <si>
    <t>HorMigón  1:3:5 contén + 2% desP.</t>
  </si>
  <si>
    <t>Mortero 1:3 Para PUlido.</t>
  </si>
  <si>
    <t>Base contén (Mano de obra solaMente).</t>
  </si>
  <si>
    <t>ConstrUcción contén.</t>
  </si>
  <si>
    <t xml:space="preserve"> /M</t>
  </si>
  <si>
    <t>DEPARTAMENTO DE COSTOS Y PRESUPUESTOS</t>
  </si>
  <si>
    <t>SUB-TOTAL FASE D</t>
  </si>
  <si>
    <t>H</t>
  </si>
  <si>
    <t>SUMINISTRO Y COLOCACIÓN DE JUNTAS</t>
  </si>
  <si>
    <t>Ubicación: PROVINCIA SAN PEDRO DE MACORIS</t>
  </si>
  <si>
    <t>Zona: VI</t>
  </si>
  <si>
    <t>B</t>
  </si>
  <si>
    <t>SUB-TOTAL FASE A</t>
  </si>
  <si>
    <t>SUB-TOTAL FASE B</t>
  </si>
  <si>
    <t>C</t>
  </si>
  <si>
    <t>SUB-TOTAL FASE C</t>
  </si>
  <si>
    <t>E</t>
  </si>
  <si>
    <t>SUB-TOTAL FASE E</t>
  </si>
  <si>
    <t>CARPETA ASFALTICA L= 2,426.66 M</t>
  </si>
  <si>
    <t>CARPETA ASFALTICA L= 213.94 M</t>
  </si>
  <si>
    <t>CARPETA ASFALTICA L= 332.03 M</t>
  </si>
  <si>
    <t>CARPETA ASFALTICA L= 423.35 M</t>
  </si>
  <si>
    <t>F</t>
  </si>
  <si>
    <t>SUB-TOTAL FASE F</t>
  </si>
  <si>
    <t>VARIOS</t>
  </si>
  <si>
    <t>G</t>
  </si>
  <si>
    <t>SUBTOTAL  GENERAL</t>
  </si>
  <si>
    <t>SUB-TOTAL FASE G</t>
  </si>
  <si>
    <t>GASTOS INDIRECTOS</t>
  </si>
  <si>
    <t>TOTAL GASTOS INDIRECTOS</t>
  </si>
  <si>
    <t>TOTAL A EJECUTAR</t>
  </si>
  <si>
    <t>TOTAL A CONTRATAR RD$</t>
  </si>
  <si>
    <r>
      <t>M</t>
    </r>
    <r>
      <rPr>
        <sz val="10"/>
        <rFont val="Calibri"/>
        <family val="2"/>
      </rPr>
      <t>²</t>
    </r>
  </si>
  <si>
    <r>
      <t>M</t>
    </r>
    <r>
      <rPr>
        <sz val="10"/>
        <rFont val="Calibri"/>
        <family val="2"/>
      </rPr>
      <t>³</t>
    </r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</si>
  <si>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/KM</t>
    </r>
  </si>
  <si>
    <t xml:space="preserve">MOVIMIENTO DE TIERRA </t>
  </si>
  <si>
    <t>3.1.1</t>
  </si>
  <si>
    <t>3.1.2</t>
  </si>
  <si>
    <t>3.1.3</t>
  </si>
  <si>
    <t>3.1.4</t>
  </si>
  <si>
    <t>3.1.5</t>
  </si>
  <si>
    <t>3.1.6</t>
  </si>
  <si>
    <t>3.1.7</t>
  </si>
  <si>
    <t>PRUEBA HIDROSTÁTICA</t>
  </si>
  <si>
    <t>EMPALME EN DEPÒSITO EXISTENTE</t>
  </si>
  <si>
    <t xml:space="preserve">CORTE, REMOCIÒN Y BOTE DE MATERIAL </t>
  </si>
  <si>
    <t>EXCAVACIÒN CON CLASIFICACIÒN V=2,591.27 M³</t>
  </si>
  <si>
    <t>EXCAVACIÒN CON CLASIFICACIÒN V=797.40 M³</t>
  </si>
  <si>
    <t>COLOCACIÒN DE TUBERÍA</t>
  </si>
  <si>
    <t>RED DE DISTRIBUCIÒN BARRIO LA 41</t>
  </si>
  <si>
    <t>EXCAVACIÒN CON CLASIFICACIÒN V=4,996.19 M³</t>
  </si>
  <si>
    <t>2.1.1</t>
  </si>
  <si>
    <t>2.1.2</t>
  </si>
  <si>
    <t>2.1.3</t>
  </si>
  <si>
    <t>2.1.4</t>
  </si>
  <si>
    <t>2.1.5</t>
  </si>
  <si>
    <t>2.1.6</t>
  </si>
  <si>
    <t>2.1.7</t>
  </si>
  <si>
    <t>RED DE DISTRIBUCIÒN BARRIO ENRRIQUILLO</t>
  </si>
  <si>
    <t>SUMINISTRO Y COLOCACIÓN DE PIEZAS ESPECIALES C/PROTECCIÓN ANTICORROSIVO</t>
  </si>
  <si>
    <t>SUMINISTRO DE TUBERÍA</t>
  </si>
  <si>
    <t>EXCAVACIÒN CON CLASIFICACIÒN V=10,186.20 M³</t>
  </si>
  <si>
    <t>SUMINISTRO E INSTALACIÒN DE:</t>
  </si>
  <si>
    <t>RED DE DISTRIBUCIÒN SECTOR LA CARRETERA Y BATEY EXPERIMENTAL</t>
  </si>
  <si>
    <t>EXCAVACIÒN CON CLASIFICACIÒN V=1,887.26 M³</t>
  </si>
  <si>
    <t>Presupuesto : 050  D/F 26/02/2021</t>
  </si>
  <si>
    <t>Obra: AMPLIACIÓN RED DE DISTRIBUCIÓN, ACUEDUCTO CONSUELO</t>
  </si>
  <si>
    <t>EXCAVACIÒN CON CLASIFICACIÒN V=1,609.33 M³</t>
  </si>
  <si>
    <t>Replanteo</t>
  </si>
  <si>
    <t>Corte de asfalto  c/disco</t>
  </si>
  <si>
    <t>Remoción de asfalto</t>
  </si>
  <si>
    <t>Bote carpeta asfáltica c/camión</t>
  </si>
  <si>
    <t>Excavación material compacto c/equipo (70%)</t>
  </si>
  <si>
    <t>Excavación en roca c/equipo (30%)</t>
  </si>
  <si>
    <t>Nivelación de fondo de zanja</t>
  </si>
  <si>
    <t xml:space="preserve">Asiento de arena </t>
  </si>
  <si>
    <t xml:space="preserve">Compactación material de relleno c/compactador mecánico en capas de 0.20 m </t>
  </si>
  <si>
    <t xml:space="preserve">Codo 8" x 90º Acero-PVC SCH-40 </t>
  </si>
  <si>
    <t>Anclajes H.S.</t>
  </si>
  <si>
    <t xml:space="preserve">Codo 8" x 75º Acero-PVC SCH-40 </t>
  </si>
  <si>
    <t xml:space="preserve">Codo 8" x 65º Acero-PVC SCH-40 </t>
  </si>
  <si>
    <t xml:space="preserve">Codo 8" x 22.5º Acero-PVC SCH-40 </t>
  </si>
  <si>
    <t>Reducción 8" x 6" Acero-PVC SCH-40</t>
  </si>
  <si>
    <t>Codo de 8" x 90º Acero SCH-40 c/protección anticorrosivo</t>
  </si>
  <si>
    <t>Anclaje HA 1.61 qq/m3</t>
  </si>
  <si>
    <t>Mano de obra instalación</t>
  </si>
  <si>
    <t>Control y manejo de tránsito ( incluye uso de letreros, uso de  conos refractarios y hombres con banderolas)</t>
  </si>
  <si>
    <t>Suministro de material base e=20 cm distancia aproximada 20 km</t>
  </si>
  <si>
    <t>Colocación y compactación de material base en capas de 0.20 m c/compactador mecánico</t>
  </si>
  <si>
    <t>Suministro y colocación de asfalto e=2"</t>
  </si>
  <si>
    <t xml:space="preserve">Codo 8" x 50º Acero-PVC SCH-40 </t>
  </si>
  <si>
    <t xml:space="preserve">Codo 6" x 90º Acero-PVC SCH-40 </t>
  </si>
  <si>
    <t xml:space="preserve">Codo 6" x 65º Acero-PVC SCH-40 </t>
  </si>
  <si>
    <t xml:space="preserve">Codo 6" x 22.5º Acero-PVC SCH-40 </t>
  </si>
  <si>
    <t>Limpieza continua y final (obreros, camión y herramientas menores)</t>
  </si>
  <si>
    <t>Reducción 4" x 3" Acero-PVC SCH-80</t>
  </si>
  <si>
    <t xml:space="preserve">Acometidas urbanas en polietileno </t>
  </si>
  <si>
    <t>Tee 4" x 4" Acero-PVC SCH-80</t>
  </si>
  <si>
    <t>Cruz 4" x 4" Acero-PVC SCH-80</t>
  </si>
  <si>
    <t>Cruz 3" x 3" Acero-PVC SCH-80</t>
  </si>
  <si>
    <t>Cajas telescópicas HF</t>
  </si>
  <si>
    <t>Fabricación e instalación de valla (16' x 10') impresión full color en banner blanco y negro, con logo de INAPA, nombre del contratista y del proyecto, estructura de tubos galvanizados de 1.5" x 1.5" y soportes en tubos cuadrados de 4" x 4"</t>
  </si>
  <si>
    <t>Ud</t>
  </si>
  <si>
    <t>Gastos administrativos</t>
  </si>
  <si>
    <t>Honorarios profesionales</t>
  </si>
  <si>
    <t>Seguros, pólizas y fianzas</t>
  </si>
  <si>
    <t xml:space="preserve"> Supervisión de la obra</t>
  </si>
  <si>
    <t>Gastos de transporte</t>
  </si>
  <si>
    <t>Ley 6-86</t>
  </si>
  <si>
    <t>Itbis de honorarios profesionales</t>
  </si>
  <si>
    <t>Mantenimiento y operación de INAPA</t>
  </si>
  <si>
    <t xml:space="preserve">Estudios (sociales, ambientales, geotécnico, topográfico, de calidad, ect) </t>
  </si>
  <si>
    <t xml:space="preserve">Medida de compensación ambiental </t>
  </si>
  <si>
    <t>Imprevistos</t>
  </si>
  <si>
    <t>CORTE, REMOCIÒN Y BOTE DE MATERIAL (213.94) M</t>
  </si>
  <si>
    <t>De Ø8" PVC (SDR-26) C/J.G incluye un 3% de perdida</t>
  </si>
  <si>
    <t>De Ø8" PVC (SDR-26) C/J.G</t>
  </si>
  <si>
    <t>Mecánica tipo dresser Ø8"150 psi</t>
  </si>
  <si>
    <t>Mecánica tipo dresser Ø6"150 psi</t>
  </si>
  <si>
    <t>De Ø6" PVC (SDR-26) C/J.G incluye un 3% de perdida</t>
  </si>
  <si>
    <t>De Ø6" PVC (SDR-26) C/J.G</t>
  </si>
  <si>
    <t>Mecánica tipo dresser Ø4"150 psi</t>
  </si>
  <si>
    <t>De Ø4" PVC (SDR-26) C/J.G incluye un 2% de perdida</t>
  </si>
  <si>
    <t>De Ø3" PVC (SDR-26) C/J.G incluye un 2% de perdida</t>
  </si>
  <si>
    <t>De Ø4" PVC (SDR-26) C/J.G</t>
  </si>
  <si>
    <t>De Ø3" PVC (SDR-26) C/J.G</t>
  </si>
  <si>
    <t>Mecánica tipo dresser Ø3"150 psi</t>
  </si>
  <si>
    <t xml:space="preserve">De Ø4" PVC (SDR-26) C/J.G </t>
  </si>
  <si>
    <t xml:space="preserve">Válvula de compuerta de Ø6" 150 psi </t>
  </si>
  <si>
    <t>Válvula de compuerta de Ø4" 150 psi</t>
  </si>
  <si>
    <t>Válvula de compuerta de Ø3" 150 psi</t>
  </si>
  <si>
    <t>Tubería de Ø8" Acero SCH-40 c/protección anticorrosivo</t>
  </si>
  <si>
    <t>Campamento (incluye alquiler de casa  o solar con caseta de materiales con baño móvil)</t>
  </si>
  <si>
    <t xml:space="preserve">SUMINISTRO Y COLOCACIÓN DE PIEZAS ESPECIALES </t>
  </si>
  <si>
    <t>Codo 4" x 90º PVC SCH-40</t>
  </si>
  <si>
    <t>Codo 3" x 90º PVC SCH-40</t>
  </si>
  <si>
    <t>Codo 3" x 45º PVC SCH-40</t>
  </si>
  <si>
    <t>Tee 4" x 4" PVC SCH-40</t>
  </si>
  <si>
    <t>Tee 3" x 3" PVC SCH-40</t>
  </si>
  <si>
    <t>Reducción 4" x 3" PVC SCH-40</t>
  </si>
  <si>
    <t xml:space="preserve">Codo 4" x 45º  PVC SCH-40 </t>
  </si>
  <si>
    <t xml:space="preserve">Codo 3" x 45º PVC SCH-40 </t>
  </si>
  <si>
    <t xml:space="preserve">Mecánica tipo dresser de Ø8" 150 psi </t>
  </si>
  <si>
    <t xml:space="preserve">Mecánica tipo dresser de Ø4" 150 psi </t>
  </si>
  <si>
    <t xml:space="preserve">Mecánica tipo dresser de Ø3" 150 psi </t>
  </si>
  <si>
    <t xml:space="preserve">Codo 4" x 45º PVC SCH-40 </t>
  </si>
  <si>
    <t xml:space="preserve">Codo 3" x 90º  PVC SCH-40 </t>
  </si>
  <si>
    <t xml:space="preserve">Codo 4" x 90º PVC SCH-40 </t>
  </si>
  <si>
    <t>Junta Tapón Ø4" Acero SCH-80</t>
  </si>
  <si>
    <t>Junta Tapón Ø3" Acero SCH-80</t>
  </si>
  <si>
    <t xml:space="preserve">GARITA DE VIGILANTE </t>
  </si>
  <si>
    <t>Movimiento de tierra (incluye excavación de zapatas, reposición de material compactado y bote de material sobrante)</t>
  </si>
  <si>
    <t xml:space="preserve">MUROS DE BLOCK </t>
  </si>
  <si>
    <t>TERMINACIÓN DE SUPERFICIE</t>
  </si>
  <si>
    <t>Fraguache</t>
  </si>
  <si>
    <t xml:space="preserve">Pañete interior </t>
  </si>
  <si>
    <t>Pañete exterior</t>
  </si>
  <si>
    <t xml:space="preserve">Fino de techo </t>
  </si>
  <si>
    <t>Pintura general acrílica (incluye base blanca)</t>
  </si>
  <si>
    <t>Cantos</t>
  </si>
  <si>
    <t>Antepecho</t>
  </si>
  <si>
    <t>Zabaleta</t>
  </si>
  <si>
    <t>Gotero de ranurado</t>
  </si>
  <si>
    <t>Impermeabilizante en techo (tipo sellador)</t>
  </si>
  <si>
    <t>Pisos de hormigón pulido (con malla electosoldada de D2.30xD2.30)</t>
  </si>
  <si>
    <t>Acera perimetral de 0.80 m (ancho)</t>
  </si>
  <si>
    <t>PUERTA (SUMINISTRO E INSTALACIÓN)</t>
  </si>
  <si>
    <t xml:space="preserve">Premarco en puerta y ventanas </t>
  </si>
  <si>
    <t>VENTANA DE ALUMINIO (INCLUYE COLOCACIÓN)</t>
  </si>
  <si>
    <t>SANITARIA</t>
  </si>
  <si>
    <t>Lavamanos sencillos</t>
  </si>
  <si>
    <t>Inodoro</t>
  </si>
  <si>
    <t>Ducha</t>
  </si>
  <si>
    <t xml:space="preserve">Cámara de inspección </t>
  </si>
  <si>
    <t xml:space="preserve">Séptico (1.90m x1.10m x 1.77m) </t>
  </si>
  <si>
    <t>Desagüe de techo</t>
  </si>
  <si>
    <t>Barra para cortina</t>
  </si>
  <si>
    <t>Tubería y piezas</t>
  </si>
  <si>
    <t>ELECTRIFICACIÓN</t>
  </si>
  <si>
    <t>Salidas cenitales</t>
  </si>
  <si>
    <t>Salidas tomacorrientes doble 120 v</t>
  </si>
  <si>
    <t>Salidas interruptor sencillos</t>
  </si>
  <si>
    <t>Cerámica de baño</t>
  </si>
  <si>
    <t>MOVIMIENTO DE TIERRA:</t>
  </si>
  <si>
    <t>Excavación zapatas  a mano</t>
  </si>
  <si>
    <t xml:space="preserve">Reposición material compactado 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</si>
  <si>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C</t>
    </r>
  </si>
  <si>
    <t>Bote de material con camión in situ</t>
  </si>
  <si>
    <t>HORMIGÓN ARMADO EN:</t>
  </si>
  <si>
    <t>M³</t>
  </si>
  <si>
    <t xml:space="preserve">Viga apoyo riel Puerta corrediza L=8.40M- 2.32 QQ/M3,F᾽c=240 KG/CM² </t>
  </si>
  <si>
    <t xml:space="preserve">Block 6" violinado SNP,  ø3/8"@0.60mts  </t>
  </si>
  <si>
    <t>M²</t>
  </si>
  <si>
    <t xml:space="preserve">Block 6"  BNP, ø3/8"@0.60mts  </t>
  </si>
  <si>
    <t>Pañete en vigas y columnas</t>
  </si>
  <si>
    <t>Pintura base blanca en vigas y columnas</t>
  </si>
  <si>
    <t>Suministro y colocación de alambre galvanizado tipo trinchera</t>
  </si>
  <si>
    <t>Suministro y colocación de junta expansiva (colocada cada 30mts en columna adicional según detalle) tira de Foam 1/2"</t>
  </si>
  <si>
    <t>Suministro y colocación de angulares de 1 1/2"x 3/16" (colocado en columna adicional según detalle)</t>
  </si>
  <si>
    <t>VERJA EN BLOQUES DE 6" VIOLINADOS,  L=129.60 M</t>
  </si>
  <si>
    <t>SUB-TOTAL H</t>
  </si>
  <si>
    <t>SUB-TOTAL FASE I</t>
  </si>
  <si>
    <t xml:space="preserve">De 4 ¨ S.N.P  </t>
  </si>
  <si>
    <t xml:space="preserve">De 6¨ S.N.P  </t>
  </si>
  <si>
    <t xml:space="preserve">De 6¨ B.N.P  </t>
  </si>
  <si>
    <t>Tinaco -150 gls</t>
  </si>
  <si>
    <t xml:space="preserve">Cámara de inspección 0.70 x 0.70 m </t>
  </si>
  <si>
    <t>Mano de obra instalación (Inodoro, Lavamanos y Ducha)</t>
  </si>
  <si>
    <t xml:space="preserve">Columna de ventilación Ø3" PVC </t>
  </si>
  <si>
    <t>GALERÍA DE INFILTRACIÓN</t>
  </si>
  <si>
    <t>Excavación material compacto c/retro pala 416 o similar</t>
  </si>
  <si>
    <t>Bote de material con camión (distancia=5.0 km) incluye esparcimiento en botadero</t>
  </si>
  <si>
    <t>Material filtrante, grava de 1"@ 3", e=0.50m</t>
  </si>
  <si>
    <t>Relleno con caliche, e=0.50 m</t>
  </si>
  <si>
    <t>Tubería Ø4" PVC SDR-32.5 c/J.G con orificios de Ø½", separados a 0.20 m de centro a centro, ( ver detalle)</t>
  </si>
  <si>
    <t>Geotextil (150 gr/m2 )</t>
  </si>
  <si>
    <t>Transporte de asfalto, distancia aproximada de 31 km</t>
  </si>
  <si>
    <t>Panel de distribución  4-8 circuito</t>
  </si>
  <si>
    <t>Suministro de material base e=20 cm distancia aproximada 31 km</t>
  </si>
  <si>
    <r>
      <t>M</t>
    </r>
    <r>
      <rPr>
        <sz val="10"/>
        <color indexed="8"/>
        <rFont val="Calibri"/>
        <family val="2"/>
      </rPr>
      <t>³</t>
    </r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</si>
  <si>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C</t>
    </r>
  </si>
  <si>
    <t xml:space="preserve">Tee 8" x 6º Acero-PVC SCH-40 </t>
  </si>
  <si>
    <t xml:space="preserve">Junta Tapón Ø3" Acero </t>
  </si>
  <si>
    <r>
      <t>M</t>
    </r>
    <r>
      <rPr>
        <sz val="10"/>
        <color indexed="8"/>
        <rFont val="Calibri"/>
        <family val="2"/>
      </rPr>
      <t>²</t>
    </r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</si>
  <si>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/KM</t>
    </r>
  </si>
  <si>
    <r>
      <t>HORMIGÓN ARMADO (210 KG/CM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</si>
  <si>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Zapata de muro (Incluye Zapata C1) 0.85 qq/m</t>
    </r>
    <r>
      <rPr>
        <vertAlign val="superscript"/>
        <sz val="11"/>
        <color indexed="8"/>
        <rFont val="Arial"/>
        <family val="2"/>
      </rPr>
      <t>3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</si>
  <si>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</si>
  <si>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r>
      <t>Viga de amarre a nivel de piso 0.15 m x 0.20 m - 3.71 qq/m</t>
    </r>
    <r>
      <rPr>
        <vertAlign val="superscript"/>
        <sz val="11"/>
        <color indexed="8"/>
        <rFont val="Arial"/>
        <family val="2"/>
      </rPr>
      <t>3</t>
    </r>
  </si>
  <si>
    <r>
      <t>Viga de amarre a nivel de techo 0.15 m x 0.20 m - 3.37 qq/m</t>
    </r>
    <r>
      <rPr>
        <vertAlign val="superscript"/>
        <sz val="11"/>
        <color indexed="8"/>
        <rFont val="Arial"/>
        <family val="2"/>
      </rPr>
      <t>3</t>
    </r>
  </si>
  <si>
    <r>
      <t>Dintel D1 (0.15 x 0.30 )m    2.99 qq/m</t>
    </r>
    <r>
      <rPr>
        <vertAlign val="superscript"/>
        <sz val="11"/>
        <color indexed="8"/>
        <rFont val="Arial"/>
        <family val="2"/>
      </rPr>
      <t>3</t>
    </r>
  </si>
  <si>
    <r>
      <t>Viga dintel d2 - 2.38 qq/m</t>
    </r>
    <r>
      <rPr>
        <vertAlign val="superscript"/>
        <sz val="11"/>
        <color indexed="8"/>
        <rFont val="Arial"/>
        <family val="2"/>
      </rPr>
      <t>3</t>
    </r>
  </si>
  <si>
    <r>
      <t>Columna 0.30 m x 0.15 m - 3.03 qq/m</t>
    </r>
    <r>
      <rPr>
        <vertAlign val="superscript"/>
        <sz val="11"/>
        <color indexed="8"/>
        <rFont val="Arial"/>
        <family val="2"/>
      </rPr>
      <t>3</t>
    </r>
  </si>
  <si>
    <r>
      <t>Losa de techo  0.12m - 1.34 qq/m</t>
    </r>
    <r>
      <rPr>
        <vertAlign val="superscript"/>
        <sz val="11"/>
        <color indexed="8"/>
        <rFont val="Arial"/>
        <family val="2"/>
      </rPr>
      <t>3</t>
    </r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</si>
  <si>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</si>
  <si>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N</t>
    </r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</si>
  <si>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E</t>
    </r>
  </si>
  <si>
    <r>
      <t>Zapata  de  columnas  (0.60 x 0.60 x 0.25)m - 2.08 QQ/m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F᾽c=180 Kg/cm²</t>
    </r>
  </si>
  <si>
    <r>
      <t>Columnas de amarre (0.20 X 0.20)m- 4.36 QQ/M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, F᾽c=210 KG/CM²</t>
    </r>
  </si>
  <si>
    <r>
      <t>Viga de amarre  BNP (0.15 X 0.20)m-3.22 QQ/M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, F᾽c=210 KG/CM²</t>
    </r>
  </si>
  <si>
    <r>
      <t>Viga de amarre SNP (0.20 X 0.20)m - 2.45 QQ/M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, F᾽c=210 KG/CM²</t>
    </r>
  </si>
  <si>
    <t>Cemento PVC</t>
  </si>
  <si>
    <t>Tee 8" x 4" Acero-PVC SCH-40</t>
  </si>
  <si>
    <t>Tee 6" x 4" Acero-PVC SCH-40</t>
  </si>
  <si>
    <t>Tee 6" x 3" Acero-PVC SCH-40</t>
  </si>
  <si>
    <t>Reducción 6" x 4" Acero-PVC SCH-40</t>
  </si>
  <si>
    <t xml:space="preserve">Codo 3" x 90º Acero-PVC SCH-40 </t>
  </si>
  <si>
    <t>Reducción 8" x 4" Acero-PVC SCH-40</t>
  </si>
  <si>
    <t>Tee 8" x 8" Acero-PVC SCH-40</t>
  </si>
  <si>
    <t>Tee 8" x 3" Acero-PVC SCH-40</t>
  </si>
  <si>
    <t>Junta Tapón Ø4" Acero SCH-40</t>
  </si>
  <si>
    <t>Junta Tapón Ø3" Acero SCH-40</t>
  </si>
  <si>
    <t>Meses</t>
  </si>
  <si>
    <r>
      <t>M</t>
    </r>
    <r>
      <rPr>
        <sz val="10"/>
        <rFont val="Calibri"/>
        <family val="2"/>
      </rPr>
      <t>³E</t>
    </r>
  </si>
  <si>
    <r>
      <t>M</t>
    </r>
    <r>
      <rPr>
        <sz val="10"/>
        <color indexed="8"/>
        <rFont val="Calibri"/>
        <family val="2"/>
      </rPr>
      <t>³E</t>
    </r>
  </si>
  <si>
    <r>
      <t>M</t>
    </r>
    <r>
      <rPr>
        <sz val="10"/>
        <rFont val="Calibri"/>
        <family val="2"/>
      </rPr>
      <t>³N</t>
    </r>
  </si>
  <si>
    <r>
      <t>M</t>
    </r>
    <r>
      <rPr>
        <sz val="10"/>
        <color indexed="8"/>
        <rFont val="Calibri"/>
        <family val="2"/>
      </rPr>
      <t>³N</t>
    </r>
  </si>
  <si>
    <t>RELLENO DE MATERIAL (SUMINISTRO Y COLOCACIÓN)</t>
  </si>
  <si>
    <t>SUMINISTRO E INSTALACIÓN DE:</t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</si>
  <si>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N</t>
    </r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</si>
  <si>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E</t>
    </r>
  </si>
  <si>
    <r>
      <t>M</t>
    </r>
    <r>
      <rPr>
        <sz val="10"/>
        <color indexed="8"/>
        <rFont val="Calibri"/>
        <family val="2"/>
      </rPr>
      <t>³E</t>
    </r>
  </si>
  <si>
    <r>
      <t>M</t>
    </r>
    <r>
      <rPr>
        <sz val="10"/>
        <color indexed="8"/>
        <rFont val="Calibri"/>
        <family val="2"/>
      </rPr>
      <t>³</t>
    </r>
  </si>
  <si>
    <t>Codo Ø4" x 45° PVC</t>
  </si>
  <si>
    <t>Tapón Ø4" PVC</t>
  </si>
  <si>
    <r>
      <t>Zapata de muros (0.45 x 0.25)m - 0.87 qq/m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, F᾽c=180 KG/CM²</t>
    </r>
  </si>
  <si>
    <t>12.2.2</t>
  </si>
  <si>
    <t>12.2.1</t>
  </si>
  <si>
    <t>12.3.1</t>
  </si>
  <si>
    <t>12.3.4</t>
  </si>
  <si>
    <t>12.4.1</t>
  </si>
  <si>
    <t>12.4.2</t>
  </si>
  <si>
    <t>12.4.3</t>
  </si>
  <si>
    <t>12.4.4</t>
  </si>
  <si>
    <t>Desmantelamiento de verja de malla ciclónica existente (incluye desmantelamiento de malla, tubos, demolición de block, zapata y bote de material)</t>
  </si>
  <si>
    <t xml:space="preserve">Acrílica azul turquesa en vigas y columnas </t>
  </si>
  <si>
    <t xml:space="preserve">Puerta corrediza L=4.0 ms </t>
  </si>
  <si>
    <t>Suministro de material de mina distancia aproximada 31 km (Sujeto a aprobación de la Supervisión)</t>
  </si>
  <si>
    <t>Puerta polimetal incluye herraj, instalación y llavín (2.10  x 0.80) m</t>
  </si>
  <si>
    <t>Verja de protección en puerta</t>
  </si>
  <si>
    <t>Ventanas de aluminio en celosías color blanco, fabricación superior</t>
  </si>
  <si>
    <t>Verja de protección en ventanas</t>
  </si>
  <si>
    <t>Desagüe de piso 2"</t>
  </si>
  <si>
    <t>CODIA</t>
  </si>
  <si>
    <t xml:space="preserve">Bote de material con camión d= 17 km (incluye carguío y esparcimiento en botadero) </t>
  </si>
  <si>
    <t xml:space="preserve">Señalización, control y seguridad en la obra (incluye pasarelas, letreros metálicos con base en angulares, postes para cintas refractaria,  luces intermitentes color ambar, barreras de peligro naranja). </t>
  </si>
  <si>
    <t>Imprimación con arena</t>
  </si>
  <si>
    <t>LÍNEA DE CONDUCCIÓN Y MATRIZ DESDE DEPÒSITO REGULADOR CAPACIDAD DE 1 MG HASTA REDES DE DISTRIBUCIÒN BARRIO ENRIQUILLO</t>
  </si>
  <si>
    <t>LINEA DE CONDUCCIÓN Y MATRIZ DESDE DEPÒSITO REGULADOR CONSUELO CAPACIDAD DE 1 MG HASTA REDES DE DISTRIBUCIÒN DE LOS SECTORES EL QUILOMBO Y LA 41</t>
  </si>
  <si>
    <t>RED DE DISTRIBUCIÒN BARRIO EL QUILOMBO</t>
  </si>
  <si>
    <t xml:space="preserve">Señalización, control y seguridad en la obra (incluye pasarelas, letreros metálicos con base en angulares, postes para cintas refractaria, luces intermitentes color ambar, barreras de peligro naranja). </t>
  </si>
  <si>
    <t>De Ø6" PVC (SDR-26) C/J.G incluye un 2% de perdida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</si>
</sst>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.00;[Red]#,##0.00"/>
    <numFmt numFmtId="185" formatCode="#,##0.0"/>
    <numFmt numFmtId="186" formatCode="0.0%"/>
    <numFmt numFmtId="187" formatCode="#,##0.000"/>
    <numFmt numFmtId="188" formatCode="&quot;$&quot;#,##0.00;\-&quot;$&quot;#,##0.00"/>
    <numFmt numFmtId="189" formatCode="0.000"/>
    <numFmt numFmtId="190" formatCode="#,##0.0000"/>
    <numFmt numFmtId="191" formatCode="00"/>
    <numFmt numFmtId="192" formatCode="0.0"/>
    <numFmt numFmtId="193" formatCode="_-* #,##0.00_-;\-* #,##0.00_-;_-* &quot;-&quot;??_-;_-@_-"/>
    <numFmt numFmtId="194" formatCode="0.0000"/>
    <numFmt numFmtId="195" formatCode="0.00_)"/>
    <numFmt numFmtId="196" formatCode="#."/>
    <numFmt numFmtId="197" formatCode="0.00000"/>
    <numFmt numFmtId="198" formatCode="#,##0.00000_);\(#,##0.00000\)"/>
    <numFmt numFmtId="199" formatCode="_(* #,##0.000_);_(* \(#,##0.000\);_(* &quot;-&quot;??_);_(@_)"/>
    <numFmt numFmtId="200" formatCode="#,##0.000;[Red]#,##0.000"/>
    <numFmt numFmtId="201" formatCode="#,##0.0000;[Red]#,##0.0000"/>
    <numFmt numFmtId="202" formatCode="#,##0.00000;[Red]#,##0.00000"/>
    <numFmt numFmtId="203" formatCode="0.0_)"/>
    <numFmt numFmtId="204" formatCode="_-* #,##0.000_-;\-* #,##0.000_-;_-* &quot;-&quot;??_-;_-@_-"/>
    <numFmt numFmtId="205" formatCode="#,##0.0_);\(#,##0.0\)"/>
    <numFmt numFmtId="206" formatCode="_-[$€-2]* #,##0.00_-;\-[$€-2]* #,##0.00_-;_-[$€-2]* &quot;-&quot;??_-"/>
    <numFmt numFmtId="207" formatCode="_-* #,##0.00\ _R_D_$_-;\-* #,##0.00\ _R_D_$_-;_-* &quot;-&quot;??\ _R_D_$_-;_-@_-"/>
    <numFmt numFmtId="208" formatCode="#,##0.0;\-#,##0.0"/>
    <numFmt numFmtId="209" formatCode="_-* #,##0.0000_-;\-* #,##0.0000_-;_-* &quot;-&quot;??_-;_-@_-"/>
    <numFmt numFmtId="210" formatCode="_-* #,##0.00000_-;\-* #,##0.00000_-;_-* &quot;-&quot;??_-;_-@_-"/>
    <numFmt numFmtId="211" formatCode="&quot;$&quot;#,##0.00"/>
    <numFmt numFmtId="212" formatCode="#,##0.0_ ;\-#,##0.0\ "/>
    <numFmt numFmtId="213" formatCode="#,##0.00_ ;\-#,##0.00\ "/>
    <numFmt numFmtId="214" formatCode="0.00;[Red]0.00"/>
    <numFmt numFmtId="215" formatCode="#,##0.0\ _€;\-#,##0.0\ _€"/>
    <numFmt numFmtId="216" formatCode="General_)"/>
    <numFmt numFmtId="217" formatCode="_-* #,##0.0\ _€_-;\-* #,##0.0\ _€_-;_-* &quot;-&quot;??\ _€_-;_-@_-"/>
    <numFmt numFmtId="218" formatCode="&quot;Sí&quot;;&quot;Sí&quot;;&quot;No&quot;"/>
    <numFmt numFmtId="219" formatCode="_(* #,##0.00000_);_(* \(#,##0.00000\);_(* &quot;-&quot;??_);_(@_)"/>
    <numFmt numFmtId="220" formatCode="[$-1C0A]dddd\,\ dd&quot; de &quot;mmmm&quot; de &quot;yyyy"/>
    <numFmt numFmtId="221" formatCode="[$-1C0A]hh:mm:ss\ AM/PM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  <numFmt numFmtId="225" formatCode="#,##0.000_);\(#,##0.000\)"/>
  </numFmts>
  <fonts count="105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b/>
      <u val="single"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Square721 BT"/>
      <family val="2"/>
    </font>
    <font>
      <b/>
      <sz val="10"/>
      <color indexed="8"/>
      <name val="Square721 BT"/>
      <family val="2"/>
    </font>
    <font>
      <sz val="10"/>
      <color indexed="8"/>
      <name val="Square721 BT"/>
      <family val="2"/>
    </font>
    <font>
      <sz val="9"/>
      <color indexed="8"/>
      <name val="Square721 BT"/>
      <family val="2"/>
    </font>
    <font>
      <b/>
      <u val="single"/>
      <sz val="10"/>
      <name val="Arial"/>
      <family val="2"/>
    </font>
    <font>
      <sz val="10"/>
      <color indexed="16"/>
      <name val="Arial"/>
      <family val="2"/>
    </font>
    <font>
      <sz val="10"/>
      <name val="Tms Rmn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b/>
      <i/>
      <sz val="16"/>
      <name val="Helv"/>
      <family val="0"/>
    </font>
    <font>
      <b/>
      <sz val="18"/>
      <color indexed="62"/>
      <name val="Cambria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vertAlign val="superscript"/>
      <sz val="10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37" fillId="6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1" fillId="33" borderId="0" applyNumberFormat="0" applyBorder="0" applyAlignment="0" applyProtection="0"/>
    <xf numFmtId="0" fontId="80" fillId="34" borderId="0" applyNumberFormat="0" applyBorder="0" applyAlignment="0" applyProtection="0"/>
    <xf numFmtId="0" fontId="52" fillId="35" borderId="1" applyNumberFormat="0" applyAlignment="0" applyProtection="0"/>
    <xf numFmtId="0" fontId="81" fillId="36" borderId="2" applyNumberFormat="0" applyAlignment="0" applyProtection="0"/>
    <xf numFmtId="0" fontId="82" fillId="37" borderId="3" applyNumberFormat="0" applyAlignment="0" applyProtection="0"/>
    <xf numFmtId="0" fontId="83" fillId="0" borderId="4" applyNumberFormat="0" applyFill="0" applyAlignment="0" applyProtection="0"/>
    <xf numFmtId="0" fontId="39" fillId="38" borderId="5" applyNumberFormat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4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79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79" fillId="42" borderId="0" applyNumberFormat="0" applyBorder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86" fillId="45" borderId="2" applyNumberFormat="0" applyAlignment="0" applyProtection="0"/>
    <xf numFmtId="20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96" fontId="10" fillId="0" borderId="0">
      <alignment/>
      <protection locked="0"/>
    </xf>
    <xf numFmtId="196" fontId="11" fillId="0" borderId="0">
      <alignment/>
      <protection locked="0"/>
    </xf>
    <xf numFmtId="196" fontId="11" fillId="0" borderId="0">
      <alignment/>
      <protection locked="0"/>
    </xf>
    <xf numFmtId="196" fontId="11" fillId="0" borderId="0">
      <alignment/>
      <protection locked="0"/>
    </xf>
    <xf numFmtId="196" fontId="11" fillId="0" borderId="0">
      <alignment/>
      <protection locked="0"/>
    </xf>
    <xf numFmtId="196" fontId="11" fillId="0" borderId="0">
      <alignment/>
      <protection locked="0"/>
    </xf>
    <xf numFmtId="196" fontId="11" fillId="0" borderId="0">
      <alignment/>
      <protection locked="0"/>
    </xf>
    <xf numFmtId="0" fontId="38" fillId="6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7" fillId="46" borderId="0" applyNumberFormat="0" applyBorder="0" applyAlignment="0" applyProtection="0"/>
    <xf numFmtId="0" fontId="40" fillId="13" borderId="1" applyNumberFormat="0" applyAlignment="0" applyProtection="0"/>
    <xf numFmtId="0" fontId="43" fillId="0" borderId="10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8" fillId="47" borderId="0" applyNumberFormat="0" applyBorder="0" applyAlignment="0" applyProtection="0"/>
    <xf numFmtId="0" fontId="56" fillId="0" borderId="0">
      <alignment/>
      <protection/>
    </xf>
    <xf numFmtId="195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5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39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1" applyNumberFormat="0" applyFont="0" applyAlignment="0" applyProtection="0"/>
    <xf numFmtId="0" fontId="0" fillId="4" borderId="12" applyNumberFormat="0" applyFont="0" applyAlignment="0" applyProtection="0"/>
    <xf numFmtId="0" fontId="42" fillId="35" borderId="13" applyNumberFormat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36" borderId="14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5" applyNumberFormat="0" applyFill="0" applyAlignment="0" applyProtection="0"/>
    <xf numFmtId="0" fontId="85" fillId="0" borderId="16" applyNumberFormat="0" applyFill="0" applyAlignment="0" applyProtection="0"/>
    <xf numFmtId="0" fontId="95" fillId="0" borderId="17" applyNumberFormat="0" applyFill="0" applyAlignment="0" applyProtection="0"/>
    <xf numFmtId="0" fontId="43" fillId="0" borderId="0" applyNumberFormat="0" applyFill="0" applyBorder="0" applyAlignment="0" applyProtection="0"/>
  </cellStyleXfs>
  <cellXfs count="1425">
    <xf numFmtId="0" fontId="0" fillId="0" borderId="0" xfId="0" applyAlignment="1">
      <alignment/>
    </xf>
    <xf numFmtId="0" fontId="13" fillId="35" borderId="0" xfId="146" applyFont="1" applyFill="1" applyAlignment="1">
      <alignment/>
      <protection/>
    </xf>
    <xf numFmtId="0" fontId="2" fillId="35" borderId="0" xfId="146" applyFont="1" applyFill="1">
      <alignment/>
      <protection/>
    </xf>
    <xf numFmtId="192" fontId="2" fillId="35" borderId="0" xfId="146" applyNumberFormat="1" applyFont="1" applyFill="1">
      <alignment/>
      <protection/>
    </xf>
    <xf numFmtId="0" fontId="9" fillId="35" borderId="0" xfId="146" applyFont="1" applyFill="1">
      <alignment/>
      <protection/>
    </xf>
    <xf numFmtId="0" fontId="14" fillId="35" borderId="0" xfId="146" applyFont="1" applyFill="1" applyBorder="1" applyAlignment="1">
      <alignment vertical="top" wrapText="1"/>
      <protection/>
    </xf>
    <xf numFmtId="0" fontId="1" fillId="35" borderId="0" xfId="146" applyFont="1" applyFill="1" applyBorder="1" applyAlignment="1">
      <alignment vertical="top"/>
      <protection/>
    </xf>
    <xf numFmtId="192" fontId="2" fillId="35" borderId="0" xfId="146" applyNumberFormat="1" applyFont="1" applyFill="1" applyAlignment="1">
      <alignment vertical="top"/>
      <protection/>
    </xf>
    <xf numFmtId="0" fontId="9" fillId="35" borderId="0" xfId="146" applyFont="1" applyFill="1" applyAlignment="1">
      <alignment vertical="top"/>
      <protection/>
    </xf>
    <xf numFmtId="0" fontId="14" fillId="35" borderId="18" xfId="146" applyFont="1" applyFill="1" applyBorder="1" applyAlignment="1">
      <alignment horizontal="center" vertical="top" wrapText="1"/>
      <protection/>
    </xf>
    <xf numFmtId="0" fontId="13" fillId="35" borderId="0" xfId="146" applyFont="1" applyFill="1" applyBorder="1" applyAlignment="1">
      <alignment horizontal="center" vertical="top" wrapText="1"/>
      <protection/>
    </xf>
    <xf numFmtId="0" fontId="1" fillId="35" borderId="0" xfId="146" applyFont="1" applyFill="1" applyAlignment="1" quotePrefix="1">
      <alignment horizontal="left"/>
      <protection/>
    </xf>
    <xf numFmtId="193" fontId="4" fillId="35" borderId="0" xfId="66" applyFont="1" applyFill="1" applyBorder="1" applyAlignment="1">
      <alignment/>
    </xf>
    <xf numFmtId="192" fontId="4" fillId="35" borderId="0" xfId="66" applyNumberFormat="1" applyFont="1" applyFill="1" applyBorder="1" applyAlignment="1">
      <alignment/>
    </xf>
    <xf numFmtId="192" fontId="4" fillId="35" borderId="0" xfId="146" applyNumberFormat="1" applyFont="1" applyFill="1">
      <alignment/>
      <protection/>
    </xf>
    <xf numFmtId="0" fontId="4" fillId="35" borderId="0" xfId="146" applyFont="1" applyFill="1">
      <alignment/>
      <protection/>
    </xf>
    <xf numFmtId="4" fontId="9" fillId="35" borderId="0" xfId="146" applyNumberFormat="1" applyFont="1" applyFill="1">
      <alignment/>
      <protection/>
    </xf>
    <xf numFmtId="39" fontId="9" fillId="35" borderId="0" xfId="146" applyNumberFormat="1" applyFont="1" applyFill="1" applyBorder="1" applyAlignment="1" quotePrefix="1">
      <alignment horizontal="left"/>
      <protection/>
    </xf>
    <xf numFmtId="0" fontId="12" fillId="35" borderId="0" xfId="146" applyFont="1" applyFill="1" applyAlignment="1" quotePrefix="1">
      <alignment horizontal="left"/>
      <protection/>
    </xf>
    <xf numFmtId="192" fontId="15" fillId="35" borderId="0" xfId="146" applyNumberFormat="1" applyFont="1" applyFill="1" applyBorder="1">
      <alignment/>
      <protection/>
    </xf>
    <xf numFmtId="0" fontId="15" fillId="35" borderId="0" xfId="146" applyFont="1" applyFill="1" applyBorder="1">
      <alignment/>
      <protection/>
    </xf>
    <xf numFmtId="0" fontId="9" fillId="35" borderId="19" xfId="146" applyFont="1" applyFill="1" applyBorder="1">
      <alignment/>
      <protection/>
    </xf>
    <xf numFmtId="4" fontId="9" fillId="35" borderId="20" xfId="146" applyNumberFormat="1" applyFont="1" applyFill="1" applyBorder="1">
      <alignment/>
      <protection/>
    </xf>
    <xf numFmtId="4" fontId="9" fillId="35" borderId="21" xfId="66" applyNumberFormat="1" applyFont="1" applyFill="1" applyBorder="1" applyAlignment="1">
      <alignment/>
    </xf>
    <xf numFmtId="39" fontId="15" fillId="35" borderId="0" xfId="146" applyNumberFormat="1" applyFont="1" applyFill="1" applyBorder="1">
      <alignment/>
      <protection/>
    </xf>
    <xf numFmtId="183" fontId="15" fillId="35" borderId="0" xfId="95" applyFont="1" applyFill="1" applyBorder="1" applyAlignment="1">
      <alignment/>
    </xf>
    <xf numFmtId="4" fontId="9" fillId="35" borderId="22" xfId="146" applyNumberFormat="1" applyFont="1" applyFill="1" applyBorder="1">
      <alignment/>
      <protection/>
    </xf>
    <xf numFmtId="0" fontId="9" fillId="35" borderId="23" xfId="146" applyFont="1" applyFill="1" applyBorder="1">
      <alignment/>
      <protection/>
    </xf>
    <xf numFmtId="4" fontId="9" fillId="35" borderId="24" xfId="146" applyNumberFormat="1" applyFont="1" applyFill="1" applyBorder="1">
      <alignment/>
      <protection/>
    </xf>
    <xf numFmtId="39" fontId="4" fillId="35" borderId="0" xfId="146" applyNumberFormat="1" applyFont="1" applyFill="1" applyBorder="1">
      <alignment/>
      <protection/>
    </xf>
    <xf numFmtId="4" fontId="12" fillId="35" borderId="25" xfId="146" applyNumberFormat="1" applyFont="1" applyFill="1" applyBorder="1" applyAlignment="1" quotePrefix="1">
      <alignment horizontal="right"/>
      <protection/>
    </xf>
    <xf numFmtId="4" fontId="12" fillId="35" borderId="26" xfId="146" applyNumberFormat="1" applyFont="1" applyFill="1" applyBorder="1">
      <alignment/>
      <protection/>
    </xf>
    <xf numFmtId="39" fontId="16" fillId="35" borderId="0" xfId="146" applyNumberFormat="1" applyFont="1" applyFill="1" applyBorder="1">
      <alignment/>
      <protection/>
    </xf>
    <xf numFmtId="192" fontId="15" fillId="35" borderId="0" xfId="146" applyNumberFormat="1" applyFont="1" applyFill="1" applyBorder="1" applyAlignment="1" quotePrefix="1">
      <alignment horizontal="left"/>
      <protection/>
    </xf>
    <xf numFmtId="183" fontId="15" fillId="35" borderId="0" xfId="95" applyFont="1" applyFill="1" applyBorder="1" applyAlignment="1">
      <alignment horizontal="right"/>
    </xf>
    <xf numFmtId="0" fontId="9" fillId="35" borderId="27" xfId="146" applyFont="1" applyFill="1" applyBorder="1">
      <alignment/>
      <protection/>
    </xf>
    <xf numFmtId="39" fontId="16" fillId="35" borderId="0" xfId="146" applyNumberFormat="1" applyFont="1" applyFill="1" applyBorder="1" applyAlignment="1">
      <alignment horizontal="right"/>
      <protection/>
    </xf>
    <xf numFmtId="0" fontId="9" fillId="35" borderId="0" xfId="146" applyFont="1" applyFill="1" applyBorder="1">
      <alignment/>
      <protection/>
    </xf>
    <xf numFmtId="4" fontId="9" fillId="35" borderId="0" xfId="146" applyNumberFormat="1" applyFont="1" applyFill="1" applyBorder="1">
      <alignment/>
      <protection/>
    </xf>
    <xf numFmtId="192" fontId="16" fillId="35" borderId="0" xfId="146" applyNumberFormat="1" applyFont="1" applyFill="1" applyBorder="1" applyAlignment="1" quotePrefix="1">
      <alignment horizontal="left"/>
      <protection/>
    </xf>
    <xf numFmtId="39" fontId="9" fillId="0" borderId="20" xfId="146" applyNumberFormat="1" applyFont="1" applyFill="1" applyBorder="1" applyAlignment="1">
      <alignment horizontal="centerContinuous"/>
      <protection/>
    </xf>
    <xf numFmtId="39" fontId="9" fillId="0" borderId="24" xfId="146" applyNumberFormat="1" applyFont="1" applyFill="1" applyBorder="1" applyAlignment="1">
      <alignment horizontal="centerContinuous"/>
      <protection/>
    </xf>
    <xf numFmtId="4" fontId="9" fillId="35" borderId="25" xfId="146" applyNumberFormat="1" applyFont="1" applyFill="1" applyBorder="1">
      <alignment/>
      <protection/>
    </xf>
    <xf numFmtId="0" fontId="9" fillId="0" borderId="25" xfId="146" applyFont="1" applyFill="1" applyBorder="1" applyAlignment="1">
      <alignment horizontal="centerContinuous"/>
      <protection/>
    </xf>
    <xf numFmtId="4" fontId="12" fillId="35" borderId="25" xfId="146" applyNumberFormat="1" applyFont="1" applyFill="1" applyBorder="1" applyAlignment="1">
      <alignment horizontal="right"/>
      <protection/>
    </xf>
    <xf numFmtId="4" fontId="12" fillId="35" borderId="26" xfId="146" applyNumberFormat="1" applyFont="1" applyFill="1" applyBorder="1" applyAlignment="1">
      <alignment horizontal="right"/>
      <protection/>
    </xf>
    <xf numFmtId="4" fontId="12" fillId="35" borderId="0" xfId="146" applyNumberFormat="1" applyFont="1" applyFill="1" applyBorder="1" applyAlignment="1">
      <alignment horizontal="right"/>
      <protection/>
    </xf>
    <xf numFmtId="0" fontId="1" fillId="35" borderId="0" xfId="146" applyFont="1" applyFill="1">
      <alignment/>
      <protection/>
    </xf>
    <xf numFmtId="2" fontId="4" fillId="35" borderId="0" xfId="146" applyNumberFormat="1" applyFont="1" applyFill="1" applyBorder="1">
      <alignment/>
      <protection/>
    </xf>
    <xf numFmtId="0" fontId="12" fillId="35" borderId="0" xfId="146" applyFont="1" applyFill="1" applyBorder="1">
      <alignment/>
      <protection/>
    </xf>
    <xf numFmtId="0" fontId="12" fillId="35" borderId="0" xfId="146" applyFont="1" applyFill="1">
      <alignment/>
      <protection/>
    </xf>
    <xf numFmtId="0" fontId="4" fillId="35" borderId="0" xfId="146" applyFont="1" applyFill="1" applyBorder="1">
      <alignment/>
      <protection/>
    </xf>
    <xf numFmtId="4" fontId="12" fillId="35" borderId="0" xfId="146" applyNumberFormat="1" applyFont="1" applyFill="1" applyAlignment="1">
      <alignment horizontal="right"/>
      <protection/>
    </xf>
    <xf numFmtId="39" fontId="16" fillId="35" borderId="0" xfId="146" applyNumberFormat="1" applyFont="1" applyFill="1" applyAlignment="1">
      <alignment horizontal="right"/>
      <protection/>
    </xf>
    <xf numFmtId="0" fontId="9" fillId="0" borderId="20" xfId="146" applyFont="1" applyFill="1" applyBorder="1" applyAlignment="1">
      <alignment horizontal="centerContinuous"/>
      <protection/>
    </xf>
    <xf numFmtId="0" fontId="9" fillId="0" borderId="24" xfId="146" applyFont="1" applyFill="1" applyBorder="1" applyAlignment="1">
      <alignment horizontal="centerContinuous"/>
      <protection/>
    </xf>
    <xf numFmtId="0" fontId="9" fillId="0" borderId="25" xfId="146" applyFont="1" applyFill="1" applyBorder="1">
      <alignment/>
      <protection/>
    </xf>
    <xf numFmtId="4" fontId="9" fillId="35" borderId="20" xfId="66" applyNumberFormat="1" applyFont="1" applyFill="1" applyBorder="1" applyAlignment="1">
      <alignment/>
    </xf>
    <xf numFmtId="4" fontId="9" fillId="35" borderId="24" xfId="66" applyNumberFormat="1" applyFont="1" applyFill="1" applyBorder="1" applyAlignment="1">
      <alignment/>
    </xf>
    <xf numFmtId="2" fontId="16" fillId="35" borderId="0" xfId="146" applyNumberFormat="1" applyFont="1" applyFill="1" applyBorder="1" applyAlignment="1">
      <alignment horizontal="right"/>
      <protection/>
    </xf>
    <xf numFmtId="0" fontId="17" fillId="35" borderId="28" xfId="146" applyFont="1" applyFill="1" applyBorder="1">
      <alignment/>
      <protection/>
    </xf>
    <xf numFmtId="4" fontId="9" fillId="35" borderId="29" xfId="146" applyNumberFormat="1" applyFont="1" applyFill="1" applyBorder="1">
      <alignment/>
      <protection/>
    </xf>
    <xf numFmtId="39" fontId="9" fillId="35" borderId="29" xfId="146" applyNumberFormat="1" applyFont="1" applyFill="1" applyBorder="1" applyAlignment="1">
      <alignment horizontal="center"/>
      <protection/>
    </xf>
    <xf numFmtId="4" fontId="9" fillId="35" borderId="20" xfId="146" applyNumberFormat="1" applyFont="1" applyFill="1" applyBorder="1" applyAlignment="1">
      <alignment horizontal="right"/>
      <protection/>
    </xf>
    <xf numFmtId="4" fontId="17" fillId="35" borderId="21" xfId="146" applyNumberFormat="1" applyFont="1" applyFill="1" applyBorder="1">
      <alignment/>
      <protection/>
    </xf>
    <xf numFmtId="2" fontId="16" fillId="35" borderId="0" xfId="146" applyNumberFormat="1" applyFont="1" applyFill="1" applyAlignment="1">
      <alignment horizontal="right"/>
      <protection/>
    </xf>
    <xf numFmtId="0" fontId="17" fillId="35" borderId="27" xfId="146" applyFont="1" applyFill="1" applyBorder="1">
      <alignment/>
      <protection/>
    </xf>
    <xf numFmtId="39" fontId="9" fillId="35" borderId="25" xfId="146" applyNumberFormat="1" applyFont="1" applyFill="1" applyBorder="1" applyAlignment="1">
      <alignment horizontal="center"/>
      <protection/>
    </xf>
    <xf numFmtId="4" fontId="9" fillId="35" borderId="30" xfId="146" applyNumberFormat="1" applyFont="1" applyFill="1" applyBorder="1" applyAlignment="1">
      <alignment horizontal="right"/>
      <protection/>
    </xf>
    <xf numFmtId="4" fontId="17" fillId="35" borderId="26" xfId="146" applyNumberFormat="1" applyFont="1" applyFill="1" applyBorder="1">
      <alignment/>
      <protection/>
    </xf>
    <xf numFmtId="0" fontId="12" fillId="35" borderId="31" xfId="146" applyFont="1" applyFill="1" applyBorder="1">
      <alignment/>
      <protection/>
    </xf>
    <xf numFmtId="4" fontId="12" fillId="35" borderId="32" xfId="146" applyNumberFormat="1" applyFont="1" applyFill="1" applyBorder="1">
      <alignment/>
      <protection/>
    </xf>
    <xf numFmtId="39" fontId="9" fillId="35" borderId="32" xfId="146" applyNumberFormat="1" applyFont="1" applyFill="1" applyBorder="1" applyAlignment="1" quotePrefix="1">
      <alignment horizontal="left"/>
      <protection/>
    </xf>
    <xf numFmtId="4" fontId="12" fillId="35" borderId="32" xfId="146" applyNumberFormat="1" applyFont="1" applyFill="1" applyBorder="1" applyAlignment="1">
      <alignment horizontal="right"/>
      <protection/>
    </xf>
    <xf numFmtId="4" fontId="12" fillId="35" borderId="33" xfId="146" applyNumberFormat="1" applyFont="1" applyFill="1" applyBorder="1">
      <alignment/>
      <protection/>
    </xf>
    <xf numFmtId="0" fontId="17" fillId="35" borderId="19" xfId="146" applyFont="1" applyFill="1" applyBorder="1">
      <alignment/>
      <protection/>
    </xf>
    <xf numFmtId="39" fontId="9" fillId="35" borderId="20" xfId="146" applyNumberFormat="1" applyFont="1" applyFill="1" applyBorder="1" applyAlignment="1">
      <alignment horizontal="center"/>
      <protection/>
    </xf>
    <xf numFmtId="4" fontId="17" fillId="35" borderId="34" xfId="146" applyNumberFormat="1" applyFont="1" applyFill="1" applyBorder="1">
      <alignment/>
      <protection/>
    </xf>
    <xf numFmtId="0" fontId="17" fillId="35" borderId="23" xfId="146" applyFont="1" applyFill="1" applyBorder="1">
      <alignment/>
      <protection/>
    </xf>
    <xf numFmtId="39" fontId="9" fillId="35" borderId="24" xfId="146" applyNumberFormat="1" applyFont="1" applyFill="1" applyBorder="1" applyAlignment="1">
      <alignment horizontal="center"/>
      <protection/>
    </xf>
    <xf numFmtId="4" fontId="9" fillId="35" borderId="24" xfId="146" applyNumberFormat="1" applyFont="1" applyFill="1" applyBorder="1" applyAlignment="1">
      <alignment horizontal="right"/>
      <protection/>
    </xf>
    <xf numFmtId="4" fontId="17" fillId="35" borderId="22" xfId="146" applyNumberFormat="1" applyFont="1" applyFill="1" applyBorder="1">
      <alignment/>
      <protection/>
    </xf>
    <xf numFmtId="2" fontId="16" fillId="35" borderId="0" xfId="146" applyNumberFormat="1" applyFont="1" applyFill="1" applyAlignment="1">
      <alignment horizontal="left"/>
      <protection/>
    </xf>
    <xf numFmtId="4" fontId="9" fillId="35" borderId="25" xfId="146" applyNumberFormat="1" applyFont="1" applyFill="1" applyBorder="1" applyAlignment="1">
      <alignment horizontal="right"/>
      <protection/>
    </xf>
    <xf numFmtId="4" fontId="12" fillId="35" borderId="0" xfId="146" applyNumberFormat="1" applyFont="1" applyFill="1" applyAlignment="1">
      <alignment horizontal="left"/>
      <protection/>
    </xf>
    <xf numFmtId="39" fontId="9" fillId="0" borderId="25" xfId="146" applyNumberFormat="1" applyFont="1" applyFill="1" applyBorder="1" applyAlignment="1">
      <alignment horizontal="centerContinuous"/>
      <protection/>
    </xf>
    <xf numFmtId="0" fontId="12" fillId="35" borderId="19" xfId="146" applyFont="1" applyFill="1" applyBorder="1">
      <alignment/>
      <protection/>
    </xf>
    <xf numFmtId="4" fontId="12" fillId="35" borderId="20" xfId="146" applyNumberFormat="1" applyFont="1" applyFill="1" applyBorder="1">
      <alignment/>
      <protection/>
    </xf>
    <xf numFmtId="39" fontId="9" fillId="35" borderId="20" xfId="146" applyNumberFormat="1" applyFont="1" applyFill="1" applyBorder="1" applyAlignment="1" quotePrefix="1">
      <alignment horizontal="left"/>
      <protection/>
    </xf>
    <xf numFmtId="4" fontId="12" fillId="35" borderId="20" xfId="146" applyNumberFormat="1" applyFont="1" applyFill="1" applyBorder="1" applyAlignment="1" quotePrefix="1">
      <alignment horizontal="right"/>
      <protection/>
    </xf>
    <xf numFmtId="4" fontId="12" fillId="35" borderId="21" xfId="146" applyNumberFormat="1" applyFont="1" applyFill="1" applyBorder="1">
      <alignment/>
      <protection/>
    </xf>
    <xf numFmtId="4" fontId="9" fillId="35" borderId="25" xfId="146" applyNumberFormat="1" applyFont="1" applyFill="1" applyBorder="1" applyAlignment="1" quotePrefix="1">
      <alignment horizontal="right"/>
      <protection/>
    </xf>
    <xf numFmtId="0" fontId="17" fillId="35" borderId="0" xfId="146" applyFont="1" applyFill="1" applyBorder="1">
      <alignment/>
      <protection/>
    </xf>
    <xf numFmtId="39" fontId="9" fillId="0" borderId="0" xfId="146" applyNumberFormat="1" applyFont="1" applyFill="1" applyBorder="1" applyAlignment="1">
      <alignment horizontal="centerContinuous"/>
      <protection/>
    </xf>
    <xf numFmtId="190" fontId="9" fillId="35" borderId="20" xfId="146" applyNumberFormat="1" applyFont="1" applyFill="1" applyBorder="1">
      <alignment/>
      <protection/>
    </xf>
    <xf numFmtId="0" fontId="0" fillId="35" borderId="0" xfId="0" applyFill="1" applyAlignment="1">
      <alignment/>
    </xf>
    <xf numFmtId="0" fontId="0" fillId="35" borderId="20" xfId="0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2" fontId="0" fillId="35" borderId="24" xfId="0" applyNumberFormat="1" applyFont="1" applyFill="1" applyBorder="1" applyAlignment="1">
      <alignment/>
    </xf>
    <xf numFmtId="0" fontId="0" fillId="35" borderId="24" xfId="0" applyFont="1" applyFill="1" applyBorder="1" applyAlignment="1">
      <alignment horizontal="center"/>
    </xf>
    <xf numFmtId="2" fontId="4" fillId="35" borderId="0" xfId="146" applyNumberFormat="1" applyFont="1" applyFill="1">
      <alignment/>
      <protection/>
    </xf>
    <xf numFmtId="4" fontId="4" fillId="35" borderId="0" xfId="146" applyNumberFormat="1" applyFont="1" applyFill="1">
      <alignment/>
      <protection/>
    </xf>
    <xf numFmtId="0" fontId="0" fillId="35" borderId="19" xfId="0" applyFont="1" applyFill="1" applyBorder="1" applyAlignment="1">
      <alignment horizontal="left"/>
    </xf>
    <xf numFmtId="0" fontId="0" fillId="35" borderId="23" xfId="0" applyFont="1" applyFill="1" applyBorder="1" applyAlignment="1">
      <alignment horizontal="left"/>
    </xf>
    <xf numFmtId="0" fontId="0" fillId="35" borderId="35" xfId="0" applyFont="1" applyFill="1" applyBorder="1" applyAlignment="1">
      <alignment horizontal="left"/>
    </xf>
    <xf numFmtId="0" fontId="19" fillId="35" borderId="0" xfId="146" applyFont="1" applyFill="1" applyAlignment="1">
      <alignment horizontal="centerContinuous"/>
      <protection/>
    </xf>
    <xf numFmtId="0" fontId="9" fillId="35" borderId="24" xfId="146" applyFont="1" applyFill="1" applyBorder="1">
      <alignment/>
      <protection/>
    </xf>
    <xf numFmtId="0" fontId="9" fillId="35" borderId="25" xfId="146" applyFont="1" applyFill="1" applyBorder="1">
      <alignment/>
      <protection/>
    </xf>
    <xf numFmtId="189" fontId="4" fillId="35" borderId="0" xfId="146" applyNumberFormat="1" applyFont="1" applyFill="1" applyBorder="1">
      <alignment/>
      <protection/>
    </xf>
    <xf numFmtId="0" fontId="0" fillId="0" borderId="0" xfId="146" applyFont="1" applyFill="1">
      <alignment/>
      <protection/>
    </xf>
    <xf numFmtId="0" fontId="0" fillId="35" borderId="0" xfId="146" applyFont="1" applyFill="1">
      <alignment/>
      <protection/>
    </xf>
    <xf numFmtId="0" fontId="16" fillId="35" borderId="0" xfId="146" applyFont="1" applyFill="1" applyBorder="1" applyAlignment="1">
      <alignment horizontal="right"/>
      <protection/>
    </xf>
    <xf numFmtId="2" fontId="12" fillId="35" borderId="0" xfId="146" applyNumberFormat="1" applyFont="1" applyFill="1" applyBorder="1" applyAlignment="1">
      <alignment horizontal="right"/>
      <protection/>
    </xf>
    <xf numFmtId="0" fontId="21" fillId="35" borderId="0" xfId="146" applyFont="1" applyFill="1">
      <alignment/>
      <protection/>
    </xf>
    <xf numFmtId="0" fontId="0" fillId="35" borderId="0" xfId="146" applyFont="1" applyFill="1" applyBorder="1">
      <alignment/>
      <protection/>
    </xf>
    <xf numFmtId="0" fontId="5" fillId="35" borderId="0" xfId="146" applyFont="1" applyFill="1" applyBorder="1" applyAlignment="1">
      <alignment horizontal="right"/>
      <protection/>
    </xf>
    <xf numFmtId="39" fontId="5" fillId="35" borderId="0" xfId="146" applyNumberFormat="1" applyFont="1" applyFill="1" applyBorder="1" applyAlignment="1">
      <alignment horizontal="right"/>
      <protection/>
    </xf>
    <xf numFmtId="2" fontId="5" fillId="35" borderId="0" xfId="146" applyNumberFormat="1" applyFont="1" applyFill="1" applyBorder="1" applyAlignment="1">
      <alignment horizontal="right"/>
      <protection/>
    </xf>
    <xf numFmtId="0" fontId="22" fillId="35" borderId="0" xfId="146" applyFont="1" applyFill="1" applyAlignment="1" quotePrefix="1">
      <alignment horizontal="left"/>
      <protection/>
    </xf>
    <xf numFmtId="0" fontId="23" fillId="35" borderId="0" xfId="146" applyFont="1" applyFill="1">
      <alignment/>
      <protection/>
    </xf>
    <xf numFmtId="187" fontId="0" fillId="0" borderId="0" xfId="146" applyNumberFormat="1" applyFont="1" applyFill="1">
      <alignment/>
      <protection/>
    </xf>
    <xf numFmtId="0" fontId="5" fillId="35" borderId="0" xfId="146" applyFont="1" applyFill="1" applyBorder="1" applyAlignment="1">
      <alignment/>
      <protection/>
    </xf>
    <xf numFmtId="0" fontId="24" fillId="35" borderId="0" xfId="146" applyFont="1" applyFill="1" applyBorder="1" applyAlignment="1">
      <alignment/>
      <protection/>
    </xf>
    <xf numFmtId="0" fontId="25" fillId="35" borderId="0" xfId="146" applyFont="1" applyFill="1" applyBorder="1">
      <alignment/>
      <protection/>
    </xf>
    <xf numFmtId="0" fontId="25" fillId="35" borderId="0" xfId="146" applyFont="1" applyFill="1">
      <alignment/>
      <protection/>
    </xf>
    <xf numFmtId="4" fontId="25" fillId="35" borderId="0" xfId="146" applyNumberFormat="1" applyFont="1" applyFill="1">
      <alignment/>
      <protection/>
    </xf>
    <xf numFmtId="0" fontId="26" fillId="35" borderId="19" xfId="146" applyFont="1" applyFill="1" applyBorder="1">
      <alignment/>
      <protection/>
    </xf>
    <xf numFmtId="0" fontId="26" fillId="35" borderId="20" xfId="146" applyFont="1" applyFill="1" applyBorder="1">
      <alignment/>
      <protection/>
    </xf>
    <xf numFmtId="0" fontId="26" fillId="35" borderId="20" xfId="146" applyFont="1" applyFill="1" applyBorder="1" applyAlignment="1">
      <alignment horizontal="centerContinuous"/>
      <protection/>
    </xf>
    <xf numFmtId="4" fontId="26" fillId="35" borderId="20" xfId="146" applyNumberFormat="1" applyFont="1" applyFill="1" applyBorder="1">
      <alignment/>
      <protection/>
    </xf>
    <xf numFmtId="0" fontId="26" fillId="35" borderId="23" xfId="146" applyFont="1" applyFill="1" applyBorder="1">
      <alignment/>
      <protection/>
    </xf>
    <xf numFmtId="2" fontId="26" fillId="35" borderId="24" xfId="146" applyNumberFormat="1" applyFont="1" applyFill="1" applyBorder="1">
      <alignment/>
      <protection/>
    </xf>
    <xf numFmtId="0" fontId="26" fillId="35" borderId="24" xfId="146" applyFont="1" applyFill="1" applyBorder="1" applyAlignment="1">
      <alignment horizontal="centerContinuous"/>
      <protection/>
    </xf>
    <xf numFmtId="4" fontId="26" fillId="35" borderId="24" xfId="146" applyNumberFormat="1" applyFont="1" applyFill="1" applyBorder="1">
      <alignment/>
      <protection/>
    </xf>
    <xf numFmtId="0" fontId="26" fillId="35" borderId="35" xfId="146" applyFont="1" applyFill="1" applyBorder="1">
      <alignment/>
      <protection/>
    </xf>
    <xf numFmtId="2" fontId="26" fillId="35" borderId="36" xfId="146" applyNumberFormat="1" applyFont="1" applyFill="1" applyBorder="1">
      <alignment/>
      <protection/>
    </xf>
    <xf numFmtId="0" fontId="26" fillId="35" borderId="36" xfId="146" applyFont="1" applyFill="1" applyBorder="1" applyAlignment="1">
      <alignment horizontal="centerContinuous"/>
      <protection/>
    </xf>
    <xf numFmtId="4" fontId="26" fillId="35" borderId="36" xfId="146" applyNumberFormat="1" applyFont="1" applyFill="1" applyBorder="1">
      <alignment/>
      <protection/>
    </xf>
    <xf numFmtId="0" fontId="26" fillId="35" borderId="27" xfId="146" applyFont="1" applyFill="1" applyBorder="1">
      <alignment/>
      <protection/>
    </xf>
    <xf numFmtId="0" fontId="26" fillId="35" borderId="25" xfId="146" applyFont="1" applyFill="1" applyBorder="1">
      <alignment/>
      <protection/>
    </xf>
    <xf numFmtId="0" fontId="27" fillId="35" borderId="25" xfId="146" applyFont="1" applyFill="1" applyBorder="1" applyAlignment="1">
      <alignment horizontal="right"/>
      <protection/>
    </xf>
    <xf numFmtId="4" fontId="27" fillId="35" borderId="26" xfId="146" applyNumberFormat="1" applyFont="1" applyFill="1" applyBorder="1" applyAlignment="1">
      <alignment horizontal="right"/>
      <protection/>
    </xf>
    <xf numFmtId="0" fontId="26" fillId="35" borderId="0" xfId="144" applyFont="1" applyFill="1" applyBorder="1">
      <alignment/>
      <protection/>
    </xf>
    <xf numFmtId="4" fontId="26" fillId="35" borderId="0" xfId="144" applyNumberFormat="1" applyFont="1" applyFill="1" applyBorder="1">
      <alignment/>
      <protection/>
    </xf>
    <xf numFmtId="0" fontId="26" fillId="35" borderId="24" xfId="145" applyFont="1" applyFill="1" applyBorder="1" applyAlignment="1">
      <alignment/>
      <protection/>
    </xf>
    <xf numFmtId="0" fontId="26" fillId="35" borderId="24" xfId="144" applyFont="1" applyFill="1" applyBorder="1" applyAlignment="1">
      <alignment horizontal="center"/>
      <protection/>
    </xf>
    <xf numFmtId="4" fontId="26" fillId="35" borderId="24" xfId="144" applyNumberFormat="1" applyFont="1" applyFill="1" applyBorder="1" applyAlignment="1">
      <alignment horizontal="right"/>
      <protection/>
    </xf>
    <xf numFmtId="4" fontId="26" fillId="35" borderId="24" xfId="144" applyNumberFormat="1" applyFont="1" applyFill="1" applyBorder="1" applyAlignment="1">
      <alignment/>
      <protection/>
    </xf>
    <xf numFmtId="2" fontId="26" fillId="35" borderId="24" xfId="145" applyNumberFormat="1" applyFont="1" applyFill="1" applyBorder="1" applyAlignment="1">
      <alignment/>
      <protection/>
    </xf>
    <xf numFmtId="2" fontId="26" fillId="35" borderId="24" xfId="144" applyNumberFormat="1" applyFont="1" applyFill="1" applyBorder="1" applyAlignment="1">
      <alignment horizontal="right"/>
      <protection/>
    </xf>
    <xf numFmtId="0" fontId="27" fillId="35" borderId="24" xfId="144" applyFont="1" applyFill="1" applyBorder="1" applyAlignment="1">
      <alignment horizontal="left"/>
      <protection/>
    </xf>
    <xf numFmtId="0" fontId="27" fillId="35" borderId="24" xfId="144" applyFont="1" applyFill="1" applyBorder="1" applyAlignment="1">
      <alignment horizontal="center"/>
      <protection/>
    </xf>
    <xf numFmtId="4" fontId="5" fillId="35" borderId="25" xfId="143" applyNumberFormat="1" applyFont="1" applyFill="1" applyBorder="1" applyAlignment="1">
      <alignment horizontal="right"/>
      <protection/>
    </xf>
    <xf numFmtId="4" fontId="2" fillId="35" borderId="0" xfId="146" applyNumberFormat="1" applyFont="1" applyFill="1">
      <alignment/>
      <protection/>
    </xf>
    <xf numFmtId="0" fontId="27" fillId="35" borderId="0" xfId="146" applyFont="1" applyFill="1" applyBorder="1">
      <alignment/>
      <protection/>
    </xf>
    <xf numFmtId="0" fontId="12" fillId="35" borderId="18" xfId="0" applyFont="1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>
      <alignment horizontal="right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37" xfId="0" applyFont="1" applyFill="1" applyBorder="1" applyAlignment="1" applyProtection="1" quotePrefix="1">
      <alignment horizontal="left" vertical="center"/>
      <protection/>
    </xf>
    <xf numFmtId="0" fontId="9" fillId="35" borderId="37" xfId="0" applyFont="1" applyFill="1" applyBorder="1" applyAlignment="1" applyProtection="1">
      <alignment horizontal="right" vertical="center"/>
      <protection/>
    </xf>
    <xf numFmtId="0" fontId="9" fillId="35" borderId="37" xfId="0" applyFont="1" applyFill="1" applyBorder="1" applyAlignment="1" applyProtection="1">
      <alignment horizontal="center" vertical="center"/>
      <protection/>
    </xf>
    <xf numFmtId="4" fontId="9" fillId="35" borderId="37" xfId="0" applyNumberFormat="1" applyFont="1" applyFill="1" applyBorder="1" applyAlignment="1" applyProtection="1">
      <alignment horizontal="right" vertical="center"/>
      <protection/>
    </xf>
    <xf numFmtId="0" fontId="9" fillId="35" borderId="24" xfId="0" applyFont="1" applyFill="1" applyBorder="1" applyAlignment="1" applyProtection="1" quotePrefix="1">
      <alignment horizontal="left" vertical="center"/>
      <protection/>
    </xf>
    <xf numFmtId="2" fontId="9" fillId="35" borderId="24" xfId="0" applyNumberFormat="1" applyFont="1" applyFill="1" applyBorder="1" applyAlignment="1" applyProtection="1">
      <alignment horizontal="right" vertical="center"/>
      <protection/>
    </xf>
    <xf numFmtId="0" fontId="9" fillId="35" borderId="24" xfId="0" applyFont="1" applyFill="1" applyBorder="1" applyAlignment="1" applyProtection="1">
      <alignment horizontal="center" vertical="center"/>
      <protection/>
    </xf>
    <xf numFmtId="4" fontId="9" fillId="35" borderId="24" xfId="0" applyNumberFormat="1" applyFont="1" applyFill="1" applyBorder="1" applyAlignment="1" applyProtection="1">
      <alignment horizontal="right" vertical="center"/>
      <protection/>
    </xf>
    <xf numFmtId="0" fontId="9" fillId="35" borderId="24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vertical="center"/>
    </xf>
    <xf numFmtId="0" fontId="9" fillId="35" borderId="38" xfId="0" applyFont="1" applyFill="1" applyBorder="1" applyAlignment="1">
      <alignment horizontal="right" vertical="center"/>
    </xf>
    <xf numFmtId="0" fontId="9" fillId="35" borderId="38" xfId="0" applyFont="1" applyFill="1" applyBorder="1" applyAlignment="1">
      <alignment horizontal="center" vertical="center"/>
    </xf>
    <xf numFmtId="4" fontId="17" fillId="35" borderId="0" xfId="146" applyNumberFormat="1" applyFont="1" applyFill="1">
      <alignment/>
      <protection/>
    </xf>
    <xf numFmtId="0" fontId="9" fillId="35" borderId="0" xfId="146" applyFont="1" applyFill="1" applyAlignment="1">
      <alignment horizontal="center"/>
      <protection/>
    </xf>
    <xf numFmtId="4" fontId="6" fillId="35" borderId="0" xfId="146" applyNumberFormat="1" applyFont="1" applyFill="1">
      <alignment/>
      <protection/>
    </xf>
    <xf numFmtId="0" fontId="9" fillId="35" borderId="20" xfId="146" applyFont="1" applyFill="1" applyBorder="1" applyAlignment="1">
      <alignment horizontal="center"/>
      <protection/>
    </xf>
    <xf numFmtId="0" fontId="9" fillId="35" borderId="24" xfId="146" applyFont="1" applyFill="1" applyBorder="1" applyAlignment="1">
      <alignment horizontal="center"/>
      <protection/>
    </xf>
    <xf numFmtId="2" fontId="2" fillId="35" borderId="0" xfId="146" applyNumberFormat="1" applyFont="1" applyFill="1">
      <alignment/>
      <protection/>
    </xf>
    <xf numFmtId="0" fontId="9" fillId="35" borderId="39" xfId="146" applyFont="1" applyFill="1" applyBorder="1">
      <alignment/>
      <protection/>
    </xf>
    <xf numFmtId="4" fontId="9" fillId="35" borderId="40" xfId="146" applyNumberFormat="1" applyFont="1" applyFill="1" applyBorder="1">
      <alignment/>
      <protection/>
    </xf>
    <xf numFmtId="0" fontId="9" fillId="35" borderId="40" xfId="146" applyFont="1" applyFill="1" applyBorder="1">
      <alignment/>
      <protection/>
    </xf>
    <xf numFmtId="4" fontId="17" fillId="35" borderId="40" xfId="143" applyNumberFormat="1" applyFont="1" applyFill="1" applyBorder="1" applyAlignment="1">
      <alignment horizontal="right"/>
      <protection/>
    </xf>
    <xf numFmtId="4" fontId="17" fillId="35" borderId="41" xfId="146" applyNumberFormat="1" applyFont="1" applyFill="1" applyBorder="1">
      <alignment/>
      <protection/>
    </xf>
    <xf numFmtId="4" fontId="6" fillId="35" borderId="40" xfId="143" applyNumberFormat="1" applyFont="1" applyFill="1" applyBorder="1" applyAlignment="1">
      <alignment horizontal="right"/>
      <protection/>
    </xf>
    <xf numFmtId="4" fontId="6" fillId="35" borderId="41" xfId="146" applyNumberFormat="1" applyFont="1" applyFill="1" applyBorder="1">
      <alignment/>
      <protection/>
    </xf>
    <xf numFmtId="0" fontId="9" fillId="35" borderId="25" xfId="146" applyFont="1" applyFill="1" applyBorder="1" applyAlignment="1">
      <alignment horizontal="center"/>
      <protection/>
    </xf>
    <xf numFmtId="4" fontId="0" fillId="35" borderId="25" xfId="143" applyNumberFormat="1" applyFont="1" applyFill="1" applyBorder="1" applyAlignment="1">
      <alignment horizontal="right"/>
      <protection/>
    </xf>
    <xf numFmtId="0" fontId="9" fillId="35" borderId="20" xfId="146" applyFont="1" applyFill="1" applyBorder="1">
      <alignment/>
      <protection/>
    </xf>
    <xf numFmtId="4" fontId="5" fillId="35" borderId="20" xfId="143" applyNumberFormat="1" applyFont="1" applyFill="1" applyBorder="1" applyAlignment="1">
      <alignment horizontal="right"/>
      <protection/>
    </xf>
    <xf numFmtId="4" fontId="17" fillId="35" borderId="25" xfId="143" applyNumberFormat="1" applyFont="1" applyFill="1" applyBorder="1" applyAlignment="1">
      <alignment horizontal="right"/>
      <protection/>
    </xf>
    <xf numFmtId="0" fontId="5" fillId="35" borderId="28" xfId="143" applyFont="1" applyFill="1" applyBorder="1" applyAlignment="1">
      <alignment horizontal="left"/>
      <protection/>
    </xf>
    <xf numFmtId="0" fontId="5" fillId="35" borderId="29" xfId="143" applyFont="1" applyFill="1" applyBorder="1" applyAlignment="1">
      <alignment horizontal="left" vertical="top" wrapText="1"/>
      <protection/>
    </xf>
    <xf numFmtId="0" fontId="5" fillId="35" borderId="29" xfId="143" applyFont="1" applyFill="1" applyBorder="1" applyAlignment="1">
      <alignment horizontal="center" vertical="top" wrapText="1"/>
      <protection/>
    </xf>
    <xf numFmtId="0" fontId="5" fillId="35" borderId="34" xfId="143" applyFont="1" applyFill="1" applyBorder="1" applyAlignment="1">
      <alignment horizontal="left" vertical="top" wrapText="1"/>
      <protection/>
    </xf>
    <xf numFmtId="0" fontId="0" fillId="35" borderId="23" xfId="143" applyFont="1" applyFill="1" applyBorder="1">
      <alignment/>
      <protection/>
    </xf>
    <xf numFmtId="2" fontId="0" fillId="35" borderId="24" xfId="143" applyNumberFormat="1" applyFont="1" applyFill="1" applyBorder="1">
      <alignment/>
      <protection/>
    </xf>
    <xf numFmtId="0" fontId="0" fillId="35" borderId="24" xfId="143" applyFont="1" applyFill="1" applyBorder="1" applyAlignment="1">
      <alignment horizontal="center"/>
      <protection/>
    </xf>
    <xf numFmtId="4" fontId="0" fillId="35" borderId="24" xfId="143" applyNumberFormat="1" applyFont="1" applyFill="1" applyBorder="1">
      <alignment/>
      <protection/>
    </xf>
    <xf numFmtId="189" fontId="0" fillId="35" borderId="24" xfId="143" applyNumberFormat="1" applyFont="1" applyFill="1" applyBorder="1">
      <alignment/>
      <protection/>
    </xf>
    <xf numFmtId="4" fontId="5" fillId="35" borderId="22" xfId="143" applyNumberFormat="1" applyFont="1" applyFill="1" applyBorder="1">
      <alignment/>
      <protection/>
    </xf>
    <xf numFmtId="0" fontId="0" fillId="35" borderId="27" xfId="143" applyFont="1" applyFill="1" applyBorder="1">
      <alignment/>
      <protection/>
    </xf>
    <xf numFmtId="0" fontId="0" fillId="35" borderId="25" xfId="143" applyFont="1" applyFill="1" applyBorder="1">
      <alignment/>
      <protection/>
    </xf>
    <xf numFmtId="174" fontId="0" fillId="35" borderId="25" xfId="143" applyNumberFormat="1" applyFont="1" applyFill="1" applyBorder="1" applyAlignment="1">
      <alignment horizontal="center"/>
      <protection/>
    </xf>
    <xf numFmtId="4" fontId="5" fillId="35" borderId="26" xfId="143" applyNumberFormat="1" applyFont="1" applyFill="1" applyBorder="1" applyAlignment="1">
      <alignment horizontal="right"/>
      <protection/>
    </xf>
    <xf numFmtId="4" fontId="9" fillId="35" borderId="0" xfId="146" applyNumberFormat="1" applyFont="1" applyFill="1" applyAlignment="1">
      <alignment horizontal="right"/>
      <protection/>
    </xf>
    <xf numFmtId="3" fontId="9" fillId="35" borderId="0" xfId="146" applyNumberFormat="1" applyFont="1" applyFill="1" applyAlignment="1">
      <alignment horizontal="left"/>
      <protection/>
    </xf>
    <xf numFmtId="192" fontId="9" fillId="35" borderId="0" xfId="146" applyNumberFormat="1" applyFont="1" applyFill="1">
      <alignment/>
      <protection/>
    </xf>
    <xf numFmtId="189" fontId="2" fillId="35" borderId="0" xfId="146" applyNumberFormat="1" applyFont="1" applyFill="1">
      <alignment/>
      <protection/>
    </xf>
    <xf numFmtId="4" fontId="1" fillId="35" borderId="0" xfId="146" applyNumberFormat="1" applyFont="1" applyFill="1">
      <alignment/>
      <protection/>
    </xf>
    <xf numFmtId="0" fontId="2" fillId="35" borderId="0" xfId="146" applyFont="1" applyFill="1" applyAlignment="1">
      <alignment horizontal="center"/>
      <protection/>
    </xf>
    <xf numFmtId="4" fontId="17" fillId="35" borderId="20" xfId="143" applyNumberFormat="1" applyFont="1" applyFill="1" applyBorder="1" applyAlignment="1">
      <alignment horizontal="right"/>
      <protection/>
    </xf>
    <xf numFmtId="0" fontId="2" fillId="0" borderId="0" xfId="146" applyFont="1" applyFill="1">
      <alignment/>
      <protection/>
    </xf>
    <xf numFmtId="0" fontId="27" fillId="35" borderId="0" xfId="146" applyFont="1" applyFill="1">
      <alignment/>
      <protection/>
    </xf>
    <xf numFmtId="0" fontId="26" fillId="35" borderId="0" xfId="146" applyFont="1" applyFill="1" applyBorder="1">
      <alignment/>
      <protection/>
    </xf>
    <xf numFmtId="4" fontId="5" fillId="35" borderId="0" xfId="143" applyNumberFormat="1" applyFont="1" applyFill="1" applyBorder="1" applyAlignment="1">
      <alignment horizontal="right"/>
      <protection/>
    </xf>
    <xf numFmtId="4" fontId="27" fillId="35" borderId="0" xfId="146" applyNumberFormat="1" applyFont="1" applyFill="1" applyBorder="1" applyAlignment="1">
      <alignment horizontal="right"/>
      <protection/>
    </xf>
    <xf numFmtId="4" fontId="26" fillId="35" borderId="0" xfId="146" applyNumberFormat="1" applyFont="1" applyFill="1">
      <alignment/>
      <protection/>
    </xf>
    <xf numFmtId="2" fontId="26" fillId="49" borderId="36" xfId="146" applyNumberFormat="1" applyFont="1" applyFill="1" applyBorder="1">
      <alignment/>
      <protection/>
    </xf>
    <xf numFmtId="0" fontId="0" fillId="35" borderId="0" xfId="0" applyFont="1" applyFill="1" applyBorder="1" applyAlignment="1">
      <alignment horizontal="center"/>
    </xf>
    <xf numFmtId="0" fontId="5" fillId="0" borderId="19" xfId="144" applyFont="1" applyFill="1" applyBorder="1" applyAlignment="1">
      <alignment horizontal="left"/>
      <protection/>
    </xf>
    <xf numFmtId="2" fontId="0" fillId="0" borderId="20" xfId="145" applyNumberFormat="1" applyFont="1" applyFill="1" applyBorder="1" applyAlignment="1">
      <alignment horizontal="center"/>
      <protection/>
    </xf>
    <xf numFmtId="0" fontId="0" fillId="0" borderId="20" xfId="144" applyFont="1" applyFill="1" applyBorder="1" applyAlignment="1">
      <alignment horizontal="center"/>
      <protection/>
    </xf>
    <xf numFmtId="2" fontId="0" fillId="0" borderId="20" xfId="144" applyNumberFormat="1" applyFont="1" applyFill="1" applyBorder="1" applyAlignment="1">
      <alignment horizontal="right"/>
      <protection/>
    </xf>
    <xf numFmtId="2" fontId="0" fillId="0" borderId="21" xfId="144" applyNumberFormat="1" applyFont="1" applyFill="1" applyBorder="1">
      <alignment/>
      <protection/>
    </xf>
    <xf numFmtId="0" fontId="0" fillId="0" borderId="23" xfId="144" applyFont="1" applyFill="1" applyBorder="1" applyAlignment="1">
      <alignment horizontal="left"/>
      <protection/>
    </xf>
    <xf numFmtId="2" fontId="0" fillId="0" borderId="24" xfId="145" applyNumberFormat="1" applyFont="1" applyFill="1" applyBorder="1" applyAlignment="1">
      <alignment/>
      <protection/>
    </xf>
    <xf numFmtId="0" fontId="0" fillId="0" borderId="24" xfId="144" applyFont="1" applyFill="1" applyBorder="1" applyAlignment="1">
      <alignment horizontal="center"/>
      <protection/>
    </xf>
    <xf numFmtId="2" fontId="0" fillId="0" borderId="24" xfId="144" applyNumberFormat="1" applyFont="1" applyFill="1" applyBorder="1" applyAlignment="1">
      <alignment horizontal="right"/>
      <protection/>
    </xf>
    <xf numFmtId="4" fontId="0" fillId="0" borderId="22" xfId="144" applyNumberFormat="1" applyFont="1" applyFill="1" applyBorder="1">
      <alignment/>
      <protection/>
    </xf>
    <xf numFmtId="0" fontId="5" fillId="0" borderId="23" xfId="144" applyFont="1" applyFill="1" applyBorder="1" applyAlignment="1">
      <alignment horizontal="left"/>
      <protection/>
    </xf>
    <xf numFmtId="0" fontId="0" fillId="0" borderId="23" xfId="144" applyFont="1" applyFill="1" applyBorder="1" applyAlignment="1" quotePrefix="1">
      <alignment horizontal="left"/>
      <protection/>
    </xf>
    <xf numFmtId="0" fontId="0" fillId="0" borderId="23" xfId="144" applyFont="1" applyFill="1" applyBorder="1">
      <alignment/>
      <protection/>
    </xf>
    <xf numFmtId="0" fontId="0" fillId="0" borderId="24" xfId="145" applyFont="1" applyFill="1" applyBorder="1" applyAlignment="1">
      <alignment/>
      <protection/>
    </xf>
    <xf numFmtId="39" fontId="0" fillId="0" borderId="24" xfId="144" applyNumberFormat="1" applyFont="1" applyFill="1" applyBorder="1" applyAlignment="1">
      <alignment horizontal="right"/>
      <protection/>
    </xf>
    <xf numFmtId="4" fontId="0" fillId="0" borderId="24" xfId="144" applyNumberFormat="1" applyFont="1" applyFill="1" applyBorder="1" applyAlignment="1">
      <alignment horizontal="right"/>
      <protection/>
    </xf>
    <xf numFmtId="2" fontId="0" fillId="0" borderId="24" xfId="145" applyNumberFormat="1" applyFont="1" applyFill="1" applyBorder="1" applyAlignment="1">
      <alignment horizontal="center"/>
      <protection/>
    </xf>
    <xf numFmtId="2" fontId="0" fillId="0" borderId="22" xfId="144" applyNumberFormat="1" applyFont="1" applyFill="1" applyBorder="1">
      <alignment/>
      <protection/>
    </xf>
    <xf numFmtId="0" fontId="5" fillId="0" borderId="27" xfId="144" applyFont="1" applyFill="1" applyBorder="1" applyAlignment="1">
      <alignment horizontal="left"/>
      <protection/>
    </xf>
    <xf numFmtId="0" fontId="5" fillId="0" borderId="25" xfId="144" applyFont="1" applyFill="1" applyBorder="1" applyAlignment="1">
      <alignment horizontal="left"/>
      <protection/>
    </xf>
    <xf numFmtId="0" fontId="5" fillId="0" borderId="25" xfId="146" applyFont="1" applyFill="1" applyBorder="1" applyAlignment="1">
      <alignment horizontal="right"/>
      <protection/>
    </xf>
    <xf numFmtId="39" fontId="17" fillId="0" borderId="26" xfId="144" applyNumberFormat="1" applyFont="1" applyFill="1" applyBorder="1" applyAlignment="1">
      <alignment/>
      <protection/>
    </xf>
    <xf numFmtId="4" fontId="0" fillId="0" borderId="24" xfId="145" applyNumberFormat="1" applyFont="1" applyFill="1" applyBorder="1" applyAlignment="1">
      <alignment/>
      <protection/>
    </xf>
    <xf numFmtId="39" fontId="0" fillId="0" borderId="24" xfId="144" applyNumberFormat="1" applyFont="1" applyFill="1" applyBorder="1" applyAlignment="1">
      <alignment horizontal="right" vertical="distributed" wrapText="1"/>
      <protection/>
    </xf>
    <xf numFmtId="4" fontId="5" fillId="35" borderId="0" xfId="0" applyNumberFormat="1" applyFont="1" applyFill="1" applyBorder="1" applyAlignment="1">
      <alignment/>
    </xf>
    <xf numFmtId="0" fontId="18" fillId="35" borderId="0" xfId="0" applyFont="1" applyFill="1" applyBorder="1" applyAlignment="1">
      <alignment horizontal="right"/>
    </xf>
    <xf numFmtId="4" fontId="18" fillId="35" borderId="0" xfId="0" applyNumberFormat="1" applyFont="1" applyFill="1" applyBorder="1" applyAlignment="1">
      <alignment horizontal="right"/>
    </xf>
    <xf numFmtId="0" fontId="0" fillId="0" borderId="19" xfId="146" applyFont="1" applyFill="1" applyBorder="1">
      <alignment/>
      <protection/>
    </xf>
    <xf numFmtId="0" fontId="0" fillId="0" borderId="20" xfId="146" applyFont="1" applyFill="1" applyBorder="1">
      <alignment/>
      <protection/>
    </xf>
    <xf numFmtId="0" fontId="0" fillId="0" borderId="20" xfId="146" applyFont="1" applyFill="1" applyBorder="1" applyAlignment="1">
      <alignment horizontal="center"/>
      <protection/>
    </xf>
    <xf numFmtId="39" fontId="0" fillId="0" borderId="20" xfId="146" applyNumberFormat="1" applyFont="1" applyFill="1" applyBorder="1">
      <alignment/>
      <protection/>
    </xf>
    <xf numFmtId="0" fontId="0" fillId="0" borderId="23" xfId="146" applyFont="1" applyFill="1" applyBorder="1">
      <alignment/>
      <protection/>
    </xf>
    <xf numFmtId="0" fontId="0" fillId="0" borderId="24" xfId="146" applyFont="1" applyFill="1" applyBorder="1">
      <alignment/>
      <protection/>
    </xf>
    <xf numFmtId="0" fontId="0" fillId="0" borderId="24" xfId="146" applyFont="1" applyFill="1" applyBorder="1" applyAlignment="1">
      <alignment horizontal="center"/>
      <protection/>
    </xf>
    <xf numFmtId="39" fontId="0" fillId="0" borderId="24" xfId="146" applyNumberFormat="1" applyFont="1" applyFill="1" applyBorder="1">
      <alignment/>
      <protection/>
    </xf>
    <xf numFmtId="2" fontId="0" fillId="0" borderId="24" xfId="146" applyNumberFormat="1" applyFont="1" applyFill="1" applyBorder="1">
      <alignment/>
      <protection/>
    </xf>
    <xf numFmtId="0" fontId="5" fillId="0" borderId="24" xfId="146" applyFont="1" applyFill="1" applyBorder="1" applyAlignment="1">
      <alignment horizontal="center"/>
      <protection/>
    </xf>
    <xf numFmtId="0" fontId="5" fillId="0" borderId="24" xfId="146" applyFont="1" applyFill="1" applyBorder="1" applyAlignment="1">
      <alignment horizontal="right"/>
      <protection/>
    </xf>
    <xf numFmtId="4" fontId="5" fillId="0" borderId="22" xfId="146" applyNumberFormat="1" applyFont="1" applyFill="1" applyBorder="1">
      <alignment/>
      <protection/>
    </xf>
    <xf numFmtId="4" fontId="0" fillId="0" borderId="24" xfId="146" applyNumberFormat="1" applyFont="1" applyFill="1" applyBorder="1">
      <alignment/>
      <protection/>
    </xf>
    <xf numFmtId="0" fontId="0" fillId="0" borderId="27" xfId="146" applyFont="1" applyFill="1" applyBorder="1">
      <alignment/>
      <protection/>
    </xf>
    <xf numFmtId="0" fontId="0" fillId="0" borderId="25" xfId="146" applyFont="1" applyFill="1" applyBorder="1">
      <alignment/>
      <protection/>
    </xf>
    <xf numFmtId="0" fontId="0" fillId="0" borderId="25" xfId="146" applyFont="1" applyFill="1" applyBorder="1" applyAlignment="1">
      <alignment horizontal="center"/>
      <protection/>
    </xf>
    <xf numFmtId="4" fontId="5" fillId="0" borderId="26" xfId="146" applyNumberFormat="1" applyFont="1" applyFill="1" applyBorder="1">
      <alignment/>
      <protection/>
    </xf>
    <xf numFmtId="0" fontId="5" fillId="35" borderId="0" xfId="0" applyFont="1" applyFill="1" applyAlignment="1">
      <alignment/>
    </xf>
    <xf numFmtId="4" fontId="0" fillId="35" borderId="0" xfId="0" applyNumberFormat="1" applyFill="1" applyAlignment="1">
      <alignment/>
    </xf>
    <xf numFmtId="0" fontId="0" fillId="35" borderId="0" xfId="0" applyFill="1" applyAlignment="1">
      <alignment horizontal="center"/>
    </xf>
    <xf numFmtId="4" fontId="0" fillId="35" borderId="24" xfId="0" applyNumberFormat="1" applyFill="1" applyBorder="1" applyAlignment="1">
      <alignment/>
    </xf>
    <xf numFmtId="4" fontId="0" fillId="35" borderId="24" xfId="0" applyNumberFormat="1" applyFill="1" applyBorder="1" applyAlignment="1">
      <alignment horizontal="center"/>
    </xf>
    <xf numFmtId="4" fontId="5" fillId="35" borderId="24" xfId="143" applyNumberFormat="1" applyFont="1" applyFill="1" applyBorder="1" applyAlignment="1">
      <alignment horizontal="right"/>
      <protection/>
    </xf>
    <xf numFmtId="4" fontId="12" fillId="35" borderId="22" xfId="146" applyNumberFormat="1" applyFont="1" applyFill="1" applyBorder="1">
      <alignment/>
      <protection/>
    </xf>
    <xf numFmtId="0" fontId="0" fillId="0" borderId="42" xfId="0" applyFont="1" applyFill="1" applyBorder="1" applyAlignment="1">
      <alignment/>
    </xf>
    <xf numFmtId="2" fontId="0" fillId="0" borderId="29" xfId="146" applyNumberFormat="1" applyFont="1" applyFill="1" applyBorder="1">
      <alignment/>
      <protection/>
    </xf>
    <xf numFmtId="39" fontId="0" fillId="0" borderId="29" xfId="146" applyNumberFormat="1" applyFont="1" applyFill="1" applyBorder="1" applyAlignment="1">
      <alignment horizontal="center"/>
      <protection/>
    </xf>
    <xf numFmtId="193" fontId="0" fillId="0" borderId="29" xfId="65" applyFont="1" applyFill="1" applyBorder="1" applyAlignment="1">
      <alignment/>
    </xf>
    <xf numFmtId="0" fontId="0" fillId="0" borderId="43" xfId="0" applyFont="1" applyFill="1" applyBorder="1" applyAlignment="1">
      <alignment/>
    </xf>
    <xf numFmtId="2" fontId="0" fillId="0" borderId="44" xfId="146" applyNumberFormat="1" applyFont="1" applyFill="1" applyBorder="1">
      <alignment/>
      <protection/>
    </xf>
    <xf numFmtId="39" fontId="0" fillId="0" borderId="44" xfId="146" applyNumberFormat="1" applyFont="1" applyFill="1" applyBorder="1" applyAlignment="1">
      <alignment horizontal="center"/>
      <protection/>
    </xf>
    <xf numFmtId="193" fontId="0" fillId="0" borderId="44" xfId="65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2" fontId="0" fillId="0" borderId="47" xfId="146" applyNumberFormat="1" applyFont="1" applyFill="1" applyBorder="1">
      <alignment/>
      <protection/>
    </xf>
    <xf numFmtId="39" fontId="0" fillId="0" borderId="47" xfId="146" applyNumberFormat="1" applyFont="1" applyFill="1" applyBorder="1" applyAlignment="1">
      <alignment horizontal="center"/>
      <protection/>
    </xf>
    <xf numFmtId="193" fontId="0" fillId="0" borderId="47" xfId="65" applyFont="1" applyFill="1" applyBorder="1" applyAlignment="1">
      <alignment/>
    </xf>
    <xf numFmtId="193" fontId="5" fillId="0" borderId="48" xfId="114" applyFont="1" applyFill="1" applyBorder="1" applyAlignment="1">
      <alignment/>
    </xf>
    <xf numFmtId="0" fontId="29" fillId="35" borderId="42" xfId="0" applyFont="1" applyFill="1" applyBorder="1" applyAlignment="1">
      <alignment/>
    </xf>
    <xf numFmtId="2" fontId="30" fillId="35" borderId="49" xfId="146" applyNumberFormat="1" applyFont="1" applyFill="1" applyBorder="1" applyAlignment="1">
      <alignment horizontal="right"/>
      <protection/>
    </xf>
    <xf numFmtId="39" fontId="30" fillId="35" borderId="49" xfId="146" applyNumberFormat="1" applyFont="1" applyFill="1" applyBorder="1" applyAlignment="1">
      <alignment horizontal="right"/>
      <protection/>
    </xf>
    <xf numFmtId="39" fontId="5" fillId="0" borderId="20" xfId="146" applyNumberFormat="1" applyFont="1" applyFill="1" applyBorder="1" applyAlignment="1">
      <alignment horizontal="right"/>
      <protection/>
    </xf>
    <xf numFmtId="0" fontId="0" fillId="35" borderId="19" xfId="144" applyFont="1" applyFill="1" applyBorder="1">
      <alignment/>
      <protection/>
    </xf>
    <xf numFmtId="0" fontId="0" fillId="35" borderId="20" xfId="144" applyFont="1" applyFill="1" applyBorder="1" applyAlignment="1">
      <alignment horizontal="center"/>
      <protection/>
    </xf>
    <xf numFmtId="4" fontId="0" fillId="35" borderId="20" xfId="144" applyNumberFormat="1" applyFont="1" applyFill="1" applyBorder="1" applyAlignment="1">
      <alignment horizontal="right"/>
      <protection/>
    </xf>
    <xf numFmtId="0" fontId="0" fillId="35" borderId="23" xfId="144" applyFont="1" applyFill="1" applyBorder="1">
      <alignment/>
      <protection/>
    </xf>
    <xf numFmtId="0" fontId="0" fillId="35" borderId="24" xfId="144" applyFont="1" applyFill="1" applyBorder="1" applyAlignment="1">
      <alignment horizontal="center"/>
      <protection/>
    </xf>
    <xf numFmtId="4" fontId="0" fillId="35" borderId="24" xfId="144" applyNumberFormat="1" applyFont="1" applyFill="1" applyBorder="1" applyAlignment="1">
      <alignment horizontal="right"/>
      <protection/>
    </xf>
    <xf numFmtId="4" fontId="0" fillId="35" borderId="22" xfId="144" applyNumberFormat="1" applyFont="1" applyFill="1" applyBorder="1">
      <alignment/>
      <protection/>
    </xf>
    <xf numFmtId="0" fontId="0" fillId="35" borderId="23" xfId="144" applyFont="1" applyFill="1" applyBorder="1" applyAlignment="1" quotePrefix="1">
      <alignment horizontal="left"/>
      <protection/>
    </xf>
    <xf numFmtId="0" fontId="5" fillId="50" borderId="23" xfId="144" applyFont="1" applyFill="1" applyBorder="1">
      <alignment/>
      <protection/>
    </xf>
    <xf numFmtId="0" fontId="5" fillId="35" borderId="27" xfId="144" applyFont="1" applyFill="1" applyBorder="1" applyAlignment="1">
      <alignment horizontal="left"/>
      <protection/>
    </xf>
    <xf numFmtId="0" fontId="5" fillId="35" borderId="25" xfId="144" applyFont="1" applyFill="1" applyBorder="1" applyAlignment="1">
      <alignment horizontal="left"/>
      <protection/>
    </xf>
    <xf numFmtId="4" fontId="5" fillId="35" borderId="26" xfId="144" applyNumberFormat="1" applyFont="1" applyFill="1" applyBorder="1" applyAlignment="1">
      <alignment/>
      <protection/>
    </xf>
    <xf numFmtId="2" fontId="0" fillId="35" borderId="20" xfId="144" applyNumberFormat="1" applyFont="1" applyFill="1" applyBorder="1" applyAlignment="1">
      <alignment/>
      <protection/>
    </xf>
    <xf numFmtId="2" fontId="0" fillId="35" borderId="24" xfId="144" applyNumberFormat="1" applyFont="1" applyFill="1" applyBorder="1" applyAlignment="1">
      <alignment/>
      <protection/>
    </xf>
    <xf numFmtId="193" fontId="9" fillId="35" borderId="0" xfId="118" applyFont="1" applyFill="1" applyBorder="1" applyAlignment="1">
      <alignment horizontal="right" vertical="center"/>
    </xf>
    <xf numFmtId="0" fontId="9" fillId="35" borderId="0" xfId="149" applyFont="1" applyFill="1" applyBorder="1" applyAlignment="1">
      <alignment horizontal="center" vertical="center"/>
      <protection/>
    </xf>
    <xf numFmtId="193" fontId="9" fillId="35" borderId="20" xfId="118" applyFont="1" applyFill="1" applyBorder="1" applyAlignment="1">
      <alignment/>
    </xf>
    <xf numFmtId="193" fontId="9" fillId="35" borderId="24" xfId="118" applyFont="1" applyFill="1" applyBorder="1" applyAlignment="1">
      <alignment/>
    </xf>
    <xf numFmtId="193" fontId="9" fillId="35" borderId="25" xfId="118" applyFont="1" applyFill="1" applyBorder="1" applyAlignment="1">
      <alignment/>
    </xf>
    <xf numFmtId="193" fontId="12" fillId="35" borderId="25" xfId="118" applyFont="1" applyFill="1" applyBorder="1" applyAlignment="1">
      <alignment horizontal="right"/>
    </xf>
    <xf numFmtId="193" fontId="12" fillId="35" borderId="26" xfId="118" applyFont="1" applyFill="1" applyBorder="1" applyAlignment="1">
      <alignment horizontal="right"/>
    </xf>
    <xf numFmtId="0" fontId="9" fillId="35" borderId="0" xfId="146" applyFont="1" applyFill="1" applyBorder="1" applyAlignment="1">
      <alignment horizontal="right"/>
      <protection/>
    </xf>
    <xf numFmtId="193" fontId="9" fillId="35" borderId="0" xfId="118" applyFont="1" applyFill="1" applyBorder="1" applyAlignment="1">
      <alignment/>
    </xf>
    <xf numFmtId="0" fontId="9" fillId="35" borderId="0" xfId="146" applyFont="1" applyFill="1" applyBorder="1" applyAlignment="1">
      <alignment horizontal="center"/>
      <protection/>
    </xf>
    <xf numFmtId="189" fontId="9" fillId="35" borderId="0" xfId="118" applyNumberFormat="1" applyFont="1" applyFill="1" applyBorder="1" applyAlignment="1">
      <alignment/>
    </xf>
    <xf numFmtId="197" fontId="2" fillId="35" borderId="0" xfId="146" applyNumberFormat="1" applyFont="1" applyFill="1">
      <alignment/>
      <protection/>
    </xf>
    <xf numFmtId="193" fontId="17" fillId="35" borderId="0" xfId="118" applyFont="1" applyFill="1" applyBorder="1" applyAlignment="1">
      <alignment/>
    </xf>
    <xf numFmtId="187" fontId="2" fillId="35" borderId="0" xfId="146" applyNumberFormat="1" applyFont="1" applyFill="1">
      <alignment/>
      <protection/>
    </xf>
    <xf numFmtId="0" fontId="0" fillId="35" borderId="19" xfId="0" applyFont="1" applyFill="1" applyBorder="1" applyAlignment="1">
      <alignment/>
    </xf>
    <xf numFmtId="2" fontId="0" fillId="35" borderId="20" xfId="0" applyNumberFormat="1" applyFont="1" applyFill="1" applyBorder="1" applyAlignment="1">
      <alignment/>
    </xf>
    <xf numFmtId="4" fontId="0" fillId="35" borderId="20" xfId="0" applyNumberFormat="1" applyFont="1" applyFill="1" applyBorder="1" applyAlignment="1">
      <alignment horizontal="right"/>
    </xf>
    <xf numFmtId="0" fontId="26" fillId="35" borderId="23" xfId="144" applyFont="1" applyFill="1" applyBorder="1" applyAlignment="1" quotePrefix="1">
      <alignment horizontal="left"/>
      <protection/>
    </xf>
    <xf numFmtId="0" fontId="26" fillId="35" borderId="23" xfId="144" applyFont="1" applyFill="1" applyBorder="1">
      <alignment/>
      <protection/>
    </xf>
    <xf numFmtId="0" fontId="27" fillId="35" borderId="23" xfId="144" applyFont="1" applyFill="1" applyBorder="1" applyAlignment="1">
      <alignment horizontal="left"/>
      <protection/>
    </xf>
    <xf numFmtId="4" fontId="28" fillId="35" borderId="22" xfId="144" applyNumberFormat="1" applyFont="1" applyFill="1" applyBorder="1" applyAlignment="1">
      <alignment/>
      <protection/>
    </xf>
    <xf numFmtId="0" fontId="27" fillId="35" borderId="27" xfId="144" applyFont="1" applyFill="1" applyBorder="1" applyAlignment="1">
      <alignment horizontal="left"/>
      <protection/>
    </xf>
    <xf numFmtId="0" fontId="27" fillId="35" borderId="25" xfId="144" applyFont="1" applyFill="1" applyBorder="1">
      <alignment/>
      <protection/>
    </xf>
    <xf numFmtId="0" fontId="27" fillId="35" borderId="25" xfId="144" applyFont="1" applyFill="1" applyBorder="1" applyAlignment="1">
      <alignment horizontal="center"/>
      <protection/>
    </xf>
    <xf numFmtId="4" fontId="27" fillId="35" borderId="26" xfId="144" applyNumberFormat="1" applyFont="1" applyFill="1" applyBorder="1" applyAlignment="1">
      <alignment/>
      <protection/>
    </xf>
    <xf numFmtId="4" fontId="2" fillId="35" borderId="24" xfId="146" applyNumberFormat="1" applyFont="1" applyFill="1" applyBorder="1">
      <alignment/>
      <protection/>
    </xf>
    <xf numFmtId="0" fontId="2" fillId="35" borderId="24" xfId="146" applyFont="1" applyFill="1" applyBorder="1">
      <alignment/>
      <protection/>
    </xf>
    <xf numFmtId="4" fontId="6" fillId="35" borderId="22" xfId="146" applyNumberFormat="1" applyFont="1" applyFill="1" applyBorder="1">
      <alignment/>
      <protection/>
    </xf>
    <xf numFmtId="4" fontId="2" fillId="35" borderId="25" xfId="146" applyNumberFormat="1" applyFont="1" applyFill="1" applyBorder="1">
      <alignment/>
      <protection/>
    </xf>
    <xf numFmtId="0" fontId="2" fillId="35" borderId="25" xfId="146" applyFont="1" applyFill="1" applyBorder="1">
      <alignment/>
      <protection/>
    </xf>
    <xf numFmtId="2" fontId="26" fillId="51" borderId="24" xfId="144" applyNumberFormat="1" applyFont="1" applyFill="1" applyBorder="1" applyAlignment="1">
      <alignment horizontal="right"/>
      <protection/>
    </xf>
    <xf numFmtId="0" fontId="0" fillId="35" borderId="19" xfId="0" applyFill="1" applyBorder="1" applyAlignment="1">
      <alignment/>
    </xf>
    <xf numFmtId="4" fontId="0" fillId="35" borderId="20" xfId="0" applyNumberFormat="1" applyFill="1" applyBorder="1" applyAlignment="1">
      <alignment/>
    </xf>
    <xf numFmtId="4" fontId="0" fillId="35" borderId="20" xfId="0" applyNumberFormat="1" applyFill="1" applyBorder="1" applyAlignment="1">
      <alignment horizontal="center"/>
    </xf>
    <xf numFmtId="0" fontId="0" fillId="35" borderId="23" xfId="0" applyFill="1" applyBorder="1" applyAlignment="1">
      <alignment/>
    </xf>
    <xf numFmtId="4" fontId="5" fillId="35" borderId="22" xfId="0" applyNumberFormat="1" applyFont="1" applyFill="1" applyBorder="1" applyAlignment="1">
      <alignment/>
    </xf>
    <xf numFmtId="0" fontId="0" fillId="35" borderId="27" xfId="0" applyFill="1" applyBorder="1" applyAlignment="1">
      <alignment/>
    </xf>
    <xf numFmtId="4" fontId="0" fillId="35" borderId="25" xfId="0" applyNumberForma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2" fontId="12" fillId="35" borderId="50" xfId="0" applyNumberFormat="1" applyFont="1" applyFill="1" applyBorder="1" applyAlignment="1" applyProtection="1">
      <alignment horizontal="right" vertical="center"/>
      <protection/>
    </xf>
    <xf numFmtId="4" fontId="12" fillId="35" borderId="50" xfId="0" applyNumberFormat="1" applyFont="1" applyFill="1" applyBorder="1" applyAlignment="1" applyProtection="1">
      <alignment horizontal="right" vertical="center"/>
      <protection/>
    </xf>
    <xf numFmtId="0" fontId="9" fillId="35" borderId="47" xfId="146" applyFont="1" applyFill="1" applyBorder="1" applyAlignment="1">
      <alignment horizontal="center"/>
      <protection/>
    </xf>
    <xf numFmtId="0" fontId="9" fillId="0" borderId="20" xfId="146" applyFont="1" applyFill="1" applyBorder="1" applyAlignment="1">
      <alignment horizontal="center"/>
      <protection/>
    </xf>
    <xf numFmtId="0" fontId="34" fillId="13" borderId="0" xfId="146" applyFont="1" applyFill="1" applyBorder="1" applyAlignment="1">
      <alignment horizontal="center" vertical="top" wrapText="1"/>
      <protection/>
    </xf>
    <xf numFmtId="0" fontId="34" fillId="13" borderId="51" xfId="146" applyFont="1" applyFill="1" applyBorder="1" applyAlignment="1">
      <alignment horizontal="center" vertical="top" wrapText="1"/>
      <protection/>
    </xf>
    <xf numFmtId="0" fontId="34" fillId="13" borderId="18" xfId="146" applyFont="1" applyFill="1" applyBorder="1" applyAlignment="1">
      <alignment vertical="top" wrapText="1"/>
      <protection/>
    </xf>
    <xf numFmtId="0" fontId="34" fillId="13" borderId="52" xfId="146" applyFont="1" applyFill="1" applyBorder="1" applyAlignment="1">
      <alignment vertical="top" wrapText="1"/>
      <protection/>
    </xf>
    <xf numFmtId="0" fontId="5" fillId="13" borderId="43" xfId="146" applyFont="1" applyFill="1" applyBorder="1" applyAlignment="1">
      <alignment horizontal="left" vertical="top" wrapText="1"/>
      <protection/>
    </xf>
    <xf numFmtId="0" fontId="5" fillId="13" borderId="43" xfId="146" applyFont="1" applyFill="1" applyBorder="1" applyAlignment="1">
      <alignment vertical="top" wrapText="1"/>
      <protection/>
    </xf>
    <xf numFmtId="0" fontId="5" fillId="13" borderId="53" xfId="146" applyFont="1" applyFill="1" applyBorder="1" applyAlignment="1">
      <alignment vertical="top" wrapText="1"/>
      <protection/>
    </xf>
    <xf numFmtId="0" fontId="5" fillId="13" borderId="0" xfId="146" applyFont="1" applyFill="1" applyBorder="1" applyAlignment="1">
      <alignment horizontal="right" vertical="top" wrapText="1"/>
      <protection/>
    </xf>
    <xf numFmtId="0" fontId="5" fillId="13" borderId="18" xfId="146" applyFont="1" applyFill="1" applyBorder="1" applyAlignment="1">
      <alignment horizontal="right" vertical="top" wrapText="1"/>
      <protection/>
    </xf>
    <xf numFmtId="4" fontId="9" fillId="35" borderId="34" xfId="66" applyNumberFormat="1" applyFont="1" applyFill="1" applyBorder="1" applyAlignment="1">
      <alignment/>
    </xf>
    <xf numFmtId="4" fontId="9" fillId="35" borderId="22" xfId="66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2" fontId="0" fillId="0" borderId="20" xfId="146" applyNumberFormat="1" applyFont="1" applyFill="1" applyBorder="1">
      <alignment/>
      <protection/>
    </xf>
    <xf numFmtId="39" fontId="0" fillId="0" borderId="20" xfId="146" applyNumberFormat="1" applyFont="1" applyFill="1" applyBorder="1" applyAlignment="1">
      <alignment horizontal="center"/>
      <protection/>
    </xf>
    <xf numFmtId="193" fontId="0" fillId="0" borderId="20" xfId="65" applyFont="1" applyFill="1" applyBorder="1" applyAlignment="1">
      <alignment/>
    </xf>
    <xf numFmtId="0" fontId="0" fillId="0" borderId="23" xfId="0" applyFont="1" applyFill="1" applyBorder="1" applyAlignment="1">
      <alignment/>
    </xf>
    <xf numFmtId="39" fontId="0" fillId="0" borderId="24" xfId="146" applyNumberFormat="1" applyFont="1" applyFill="1" applyBorder="1" applyAlignment="1">
      <alignment horizontal="center"/>
      <protection/>
    </xf>
    <xf numFmtId="193" fontId="0" fillId="0" borderId="24" xfId="65" applyFont="1" applyFill="1" applyBorder="1" applyAlignment="1">
      <alignment/>
    </xf>
    <xf numFmtId="0" fontId="0" fillId="0" borderId="27" xfId="0" applyFont="1" applyFill="1" applyBorder="1" applyAlignment="1">
      <alignment/>
    </xf>
    <xf numFmtId="2" fontId="0" fillId="0" borderId="25" xfId="146" applyNumberFormat="1" applyFont="1" applyFill="1" applyBorder="1">
      <alignment/>
      <protection/>
    </xf>
    <xf numFmtId="39" fontId="0" fillId="0" borderId="25" xfId="146" applyNumberFormat="1" applyFont="1" applyFill="1" applyBorder="1" applyAlignment="1">
      <alignment horizontal="center"/>
      <protection/>
    </xf>
    <xf numFmtId="193" fontId="0" fillId="0" borderId="25" xfId="65" applyFont="1" applyFill="1" applyBorder="1" applyAlignment="1">
      <alignment/>
    </xf>
    <xf numFmtId="4" fontId="9" fillId="35" borderId="26" xfId="66" applyNumberFormat="1" applyFont="1" applyFill="1" applyBorder="1" applyAlignment="1">
      <alignment/>
    </xf>
    <xf numFmtId="0" fontId="5" fillId="52" borderId="0" xfId="0" applyFont="1" applyFill="1" applyAlignment="1">
      <alignment vertical="top"/>
    </xf>
    <xf numFmtId="0" fontId="34" fillId="13" borderId="51" xfId="146" applyFont="1" applyFill="1" applyBorder="1" applyAlignment="1">
      <alignment horizontal="left" vertical="top" wrapText="1"/>
      <protection/>
    </xf>
    <xf numFmtId="4" fontId="9" fillId="35" borderId="0" xfId="146" applyNumberFormat="1" applyFont="1" applyFill="1" applyAlignment="1">
      <alignment vertical="top"/>
      <protection/>
    </xf>
    <xf numFmtId="4" fontId="9" fillId="35" borderId="49" xfId="66" applyNumberFormat="1" applyFont="1" applyFill="1" applyBorder="1" applyAlignment="1">
      <alignment/>
    </xf>
    <xf numFmtId="2" fontId="9" fillId="35" borderId="0" xfId="146" applyNumberFormat="1" applyFont="1" applyFill="1" applyAlignment="1">
      <alignment vertical="top"/>
      <protection/>
    </xf>
    <xf numFmtId="4" fontId="2" fillId="35" borderId="0" xfId="146" applyNumberFormat="1" applyFont="1" applyFill="1" applyAlignment="1">
      <alignment vertical="top"/>
      <protection/>
    </xf>
    <xf numFmtId="0" fontId="9" fillId="35" borderId="24" xfId="146" applyFont="1" applyFill="1" applyBorder="1" applyAlignment="1">
      <alignment horizontal="center" vertical="top"/>
      <protection/>
    </xf>
    <xf numFmtId="0" fontId="12" fillId="35" borderId="0" xfId="146" applyFont="1" applyFill="1" applyAlignment="1">
      <alignment vertical="top"/>
      <protection/>
    </xf>
    <xf numFmtId="0" fontId="9" fillId="35" borderId="23" xfId="146" applyFont="1" applyFill="1" applyBorder="1" applyAlignment="1">
      <alignment vertical="top"/>
      <protection/>
    </xf>
    <xf numFmtId="4" fontId="9" fillId="35" borderId="24" xfId="146" applyNumberFormat="1" applyFont="1" applyFill="1" applyBorder="1" applyAlignment="1">
      <alignment vertical="top"/>
      <protection/>
    </xf>
    <xf numFmtId="0" fontId="9" fillId="35" borderId="27" xfId="146" applyFont="1" applyFill="1" applyBorder="1" applyAlignment="1">
      <alignment vertical="top"/>
      <protection/>
    </xf>
    <xf numFmtId="4" fontId="9" fillId="35" borderId="25" xfId="146" applyNumberFormat="1" applyFont="1" applyFill="1" applyBorder="1" applyAlignment="1">
      <alignment vertical="top"/>
      <protection/>
    </xf>
    <xf numFmtId="2" fontId="9" fillId="35" borderId="0" xfId="146" applyNumberFormat="1" applyFont="1" applyFill="1">
      <alignment/>
      <protection/>
    </xf>
    <xf numFmtId="4" fontId="12" fillId="35" borderId="25" xfId="146" applyNumberFormat="1" applyFont="1" applyFill="1" applyBorder="1" applyAlignment="1">
      <alignment horizontal="right" vertical="top"/>
      <protection/>
    </xf>
    <xf numFmtId="0" fontId="0" fillId="52" borderId="0" xfId="0" applyFont="1" applyFill="1" applyAlignment="1">
      <alignment horizontal="center" vertical="top"/>
    </xf>
    <xf numFmtId="0" fontId="12" fillId="53" borderId="0" xfId="146" applyFont="1" applyFill="1" applyAlignment="1">
      <alignment vertical="top"/>
      <protection/>
    </xf>
    <xf numFmtId="0" fontId="9" fillId="0" borderId="0" xfId="146" applyFont="1" applyFill="1">
      <alignment/>
      <protection/>
    </xf>
    <xf numFmtId="4" fontId="9" fillId="52" borderId="0" xfId="146" applyNumberFormat="1" applyFont="1" applyFill="1">
      <alignment/>
      <protection/>
    </xf>
    <xf numFmtId="0" fontId="9" fillId="52" borderId="0" xfId="146" applyFont="1" applyFill="1">
      <alignment/>
      <protection/>
    </xf>
    <xf numFmtId="0" fontId="9" fillId="52" borderId="0" xfId="146" applyFont="1" applyFill="1" applyAlignment="1">
      <alignment vertical="top"/>
      <protection/>
    </xf>
    <xf numFmtId="0" fontId="9" fillId="52" borderId="0" xfId="146" applyFont="1" applyFill="1" applyAlignment="1">
      <alignment horizontal="center" vertical="top"/>
      <protection/>
    </xf>
    <xf numFmtId="4" fontId="9" fillId="53" borderId="0" xfId="146" applyNumberFormat="1" applyFont="1" applyFill="1" applyAlignment="1">
      <alignment vertical="top"/>
      <protection/>
    </xf>
    <xf numFmtId="0" fontId="9" fillId="53" borderId="0" xfId="146" applyFont="1" applyFill="1" applyAlignment="1">
      <alignment vertical="top"/>
      <protection/>
    </xf>
    <xf numFmtId="0" fontId="9" fillId="53" borderId="23" xfId="146" applyFont="1" applyFill="1" applyBorder="1" applyAlignment="1">
      <alignment vertical="top"/>
      <protection/>
    </xf>
    <xf numFmtId="4" fontId="9" fillId="53" borderId="24" xfId="146" applyNumberFormat="1" applyFont="1" applyFill="1" applyBorder="1" applyAlignment="1">
      <alignment vertical="top"/>
      <protection/>
    </xf>
    <xf numFmtId="0" fontId="9" fillId="53" borderId="24" xfId="146" applyFont="1" applyFill="1" applyBorder="1" applyAlignment="1">
      <alignment vertical="top"/>
      <protection/>
    </xf>
    <xf numFmtId="4" fontId="9" fillId="53" borderId="22" xfId="66" applyNumberFormat="1" applyFont="1" applyFill="1" applyBorder="1" applyAlignment="1">
      <alignment vertical="top"/>
    </xf>
    <xf numFmtId="0" fontId="9" fillId="53" borderId="24" xfId="146" applyFont="1" applyFill="1" applyBorder="1" applyAlignment="1">
      <alignment horizontal="center" vertical="top"/>
      <protection/>
    </xf>
    <xf numFmtId="0" fontId="9" fillId="53" borderId="27" xfId="146" applyFont="1" applyFill="1" applyBorder="1" applyAlignment="1">
      <alignment vertical="top"/>
      <protection/>
    </xf>
    <xf numFmtId="4" fontId="9" fillId="53" borderId="25" xfId="146" applyNumberFormat="1" applyFont="1" applyFill="1" applyBorder="1" applyAlignment="1">
      <alignment vertical="top"/>
      <protection/>
    </xf>
    <xf numFmtId="0" fontId="9" fillId="53" borderId="25" xfId="146" applyFont="1" applyFill="1" applyBorder="1" applyAlignment="1">
      <alignment vertical="top"/>
      <protection/>
    </xf>
    <xf numFmtId="4" fontId="12" fillId="53" borderId="25" xfId="146" applyNumberFormat="1" applyFont="1" applyFill="1" applyBorder="1" applyAlignment="1">
      <alignment horizontal="right" vertical="top"/>
      <protection/>
    </xf>
    <xf numFmtId="4" fontId="12" fillId="53" borderId="26" xfId="66" applyNumberFormat="1" applyFont="1" applyFill="1" applyBorder="1" applyAlignment="1">
      <alignment vertical="top"/>
    </xf>
    <xf numFmtId="0" fontId="9" fillId="35" borderId="0" xfId="146" applyFont="1" applyFill="1" applyAlignment="1">
      <alignment/>
      <protection/>
    </xf>
    <xf numFmtId="4" fontId="9" fillId="35" borderId="20" xfId="146" applyNumberFormat="1" applyFont="1" applyFill="1" applyBorder="1" applyAlignment="1">
      <alignment vertical="top"/>
      <protection/>
    </xf>
    <xf numFmtId="0" fontId="12" fillId="53" borderId="0" xfId="146" applyFont="1" applyFill="1">
      <alignment/>
      <protection/>
    </xf>
    <xf numFmtId="4" fontId="9" fillId="53" borderId="0" xfId="146" applyNumberFormat="1" applyFont="1" applyFill="1">
      <alignment/>
      <protection/>
    </xf>
    <xf numFmtId="0" fontId="9" fillId="53" borderId="0" xfId="146" applyFont="1" applyFill="1">
      <alignment/>
      <protection/>
    </xf>
    <xf numFmtId="0" fontId="26" fillId="53" borderId="19" xfId="146" applyFont="1" applyFill="1" applyBorder="1">
      <alignment/>
      <protection/>
    </xf>
    <xf numFmtId="0" fontId="26" fillId="53" borderId="20" xfId="146" applyFont="1" applyFill="1" applyBorder="1">
      <alignment/>
      <protection/>
    </xf>
    <xf numFmtId="0" fontId="26" fillId="53" borderId="20" xfId="146" applyFont="1" applyFill="1" applyBorder="1" applyAlignment="1">
      <alignment horizontal="centerContinuous"/>
      <protection/>
    </xf>
    <xf numFmtId="4" fontId="26" fillId="53" borderId="20" xfId="146" applyNumberFormat="1" applyFont="1" applyFill="1" applyBorder="1">
      <alignment/>
      <protection/>
    </xf>
    <xf numFmtId="0" fontId="26" fillId="53" borderId="23" xfId="146" applyFont="1" applyFill="1" applyBorder="1">
      <alignment/>
      <protection/>
    </xf>
    <xf numFmtId="2" fontId="26" fillId="53" borderId="24" xfId="146" applyNumberFormat="1" applyFont="1" applyFill="1" applyBorder="1">
      <alignment/>
      <protection/>
    </xf>
    <xf numFmtId="0" fontId="26" fillId="53" borderId="24" xfId="146" applyFont="1" applyFill="1" applyBorder="1" applyAlignment="1">
      <alignment horizontal="centerContinuous"/>
      <protection/>
    </xf>
    <xf numFmtId="4" fontId="26" fillId="53" borderId="24" xfId="146" applyNumberFormat="1" applyFont="1" applyFill="1" applyBorder="1">
      <alignment/>
      <protection/>
    </xf>
    <xf numFmtId="4" fontId="9" fillId="53" borderId="22" xfId="66" applyNumberFormat="1" applyFont="1" applyFill="1" applyBorder="1" applyAlignment="1">
      <alignment/>
    </xf>
    <xf numFmtId="0" fontId="26" fillId="53" borderId="35" xfId="146" applyFont="1" applyFill="1" applyBorder="1">
      <alignment/>
      <protection/>
    </xf>
    <xf numFmtId="2" fontId="26" fillId="53" borderId="36" xfId="146" applyNumberFormat="1" applyFont="1" applyFill="1" applyBorder="1">
      <alignment/>
      <protection/>
    </xf>
    <xf numFmtId="0" fontId="26" fillId="53" borderId="36" xfId="146" applyFont="1" applyFill="1" applyBorder="1" applyAlignment="1">
      <alignment horizontal="centerContinuous"/>
      <protection/>
    </xf>
    <xf numFmtId="4" fontId="26" fillId="53" borderId="36" xfId="146" applyNumberFormat="1" applyFont="1" applyFill="1" applyBorder="1">
      <alignment/>
      <protection/>
    </xf>
    <xf numFmtId="0" fontId="26" fillId="53" borderId="27" xfId="146" applyFont="1" applyFill="1" applyBorder="1">
      <alignment/>
      <protection/>
    </xf>
    <xf numFmtId="0" fontId="26" fillId="53" borderId="25" xfId="146" applyFont="1" applyFill="1" applyBorder="1">
      <alignment/>
      <protection/>
    </xf>
    <xf numFmtId="4" fontId="5" fillId="53" borderId="25" xfId="143" applyNumberFormat="1" applyFont="1" applyFill="1" applyBorder="1" applyAlignment="1">
      <alignment horizontal="right"/>
      <protection/>
    </xf>
    <xf numFmtId="4" fontId="27" fillId="53" borderId="26" xfId="146" applyNumberFormat="1" applyFont="1" applyFill="1" applyBorder="1" applyAlignment="1">
      <alignment horizontal="right"/>
      <protection/>
    </xf>
    <xf numFmtId="0" fontId="5" fillId="53" borderId="18" xfId="0" applyFont="1" applyFill="1" applyBorder="1" applyAlignment="1">
      <alignment vertical="top"/>
    </xf>
    <xf numFmtId="4" fontId="26" fillId="53" borderId="0" xfId="146" applyNumberFormat="1" applyFont="1" applyFill="1">
      <alignment/>
      <protection/>
    </xf>
    <xf numFmtId="0" fontId="25" fillId="53" borderId="0" xfId="146" applyFont="1" applyFill="1">
      <alignment/>
      <protection/>
    </xf>
    <xf numFmtId="4" fontId="25" fillId="53" borderId="0" xfId="146" applyNumberFormat="1" applyFont="1" applyFill="1">
      <alignment/>
      <protection/>
    </xf>
    <xf numFmtId="0" fontId="27" fillId="53" borderId="0" xfId="146" applyFont="1" applyFill="1" applyBorder="1">
      <alignment/>
      <protection/>
    </xf>
    <xf numFmtId="0" fontId="26" fillId="53" borderId="19" xfId="146" applyFont="1" applyFill="1" applyBorder="1" applyAlignment="1">
      <alignment vertical="top"/>
      <protection/>
    </xf>
    <xf numFmtId="0" fontId="26" fillId="53" borderId="20" xfId="146" applyFont="1" applyFill="1" applyBorder="1" applyAlignment="1">
      <alignment vertical="top"/>
      <protection/>
    </xf>
    <xf numFmtId="0" fontId="26" fillId="53" borderId="20" xfId="146" applyFont="1" applyFill="1" applyBorder="1" applyAlignment="1">
      <alignment horizontal="center" vertical="top"/>
      <protection/>
    </xf>
    <xf numFmtId="4" fontId="26" fillId="53" borderId="20" xfId="146" applyNumberFormat="1" applyFont="1" applyFill="1" applyBorder="1" applyAlignment="1">
      <alignment vertical="top"/>
      <protection/>
    </xf>
    <xf numFmtId="0" fontId="26" fillId="53" borderId="23" xfId="146" applyFont="1" applyFill="1" applyBorder="1" applyAlignment="1">
      <alignment vertical="top"/>
      <protection/>
    </xf>
    <xf numFmtId="2" fontId="26" fillId="53" borderId="24" xfId="146" applyNumberFormat="1" applyFont="1" applyFill="1" applyBorder="1" applyAlignment="1">
      <alignment vertical="top"/>
      <protection/>
    </xf>
    <xf numFmtId="0" fontId="26" fillId="53" borderId="24" xfId="146" applyFont="1" applyFill="1" applyBorder="1" applyAlignment="1">
      <alignment horizontal="center" vertical="top"/>
      <protection/>
    </xf>
    <xf numFmtId="4" fontId="26" fillId="53" borderId="24" xfId="146" applyNumberFormat="1" applyFont="1" applyFill="1" applyBorder="1" applyAlignment="1">
      <alignment vertical="top"/>
      <protection/>
    </xf>
    <xf numFmtId="0" fontId="26" fillId="53" borderId="35" xfId="146" applyFont="1" applyFill="1" applyBorder="1" applyAlignment="1">
      <alignment vertical="top"/>
      <protection/>
    </xf>
    <xf numFmtId="2" fontId="26" fillId="53" borderId="36" xfId="146" applyNumberFormat="1" applyFont="1" applyFill="1" applyBorder="1" applyAlignment="1">
      <alignment vertical="top"/>
      <protection/>
    </xf>
    <xf numFmtId="0" fontId="26" fillId="53" borderId="36" xfId="146" applyFont="1" applyFill="1" applyBorder="1" applyAlignment="1">
      <alignment horizontal="center" vertical="top"/>
      <protection/>
    </xf>
    <xf numFmtId="4" fontId="26" fillId="53" borderId="36" xfId="146" applyNumberFormat="1" applyFont="1" applyFill="1" applyBorder="1" applyAlignment="1">
      <alignment vertical="top"/>
      <protection/>
    </xf>
    <xf numFmtId="0" fontId="26" fillId="53" borderId="27" xfId="146" applyFont="1" applyFill="1" applyBorder="1" applyAlignment="1">
      <alignment vertical="top"/>
      <protection/>
    </xf>
    <xf numFmtId="0" fontId="26" fillId="53" borderId="25" xfId="146" applyFont="1" applyFill="1" applyBorder="1" applyAlignment="1">
      <alignment vertical="top"/>
      <protection/>
    </xf>
    <xf numFmtId="4" fontId="5" fillId="53" borderId="25" xfId="143" applyNumberFormat="1" applyFont="1" applyFill="1" applyBorder="1" applyAlignment="1">
      <alignment horizontal="right" vertical="top"/>
      <protection/>
    </xf>
    <xf numFmtId="4" fontId="27" fillId="53" borderId="26" xfId="146" applyNumberFormat="1" applyFont="1" applyFill="1" applyBorder="1" applyAlignment="1">
      <alignment horizontal="right" vertical="top"/>
      <protection/>
    </xf>
    <xf numFmtId="0" fontId="9" fillId="53" borderId="39" xfId="146" applyFont="1" applyFill="1" applyBorder="1" applyAlignment="1">
      <alignment vertical="top"/>
      <protection/>
    </xf>
    <xf numFmtId="4" fontId="9" fillId="53" borderId="40" xfId="146" applyNumberFormat="1" applyFont="1" applyFill="1" applyBorder="1" applyAlignment="1">
      <alignment vertical="top"/>
      <protection/>
    </xf>
    <xf numFmtId="0" fontId="9" fillId="53" borderId="40" xfId="146" applyFont="1" applyFill="1" applyBorder="1" applyAlignment="1">
      <alignment horizontal="center" vertical="top"/>
      <protection/>
    </xf>
    <xf numFmtId="4" fontId="96" fillId="53" borderId="41" xfId="66" applyNumberFormat="1" applyFont="1" applyFill="1" applyBorder="1" applyAlignment="1">
      <alignment vertical="top"/>
    </xf>
    <xf numFmtId="2" fontId="9" fillId="53" borderId="19" xfId="146" applyNumberFormat="1" applyFont="1" applyFill="1" applyBorder="1" applyAlignment="1">
      <alignment vertical="top"/>
      <protection/>
    </xf>
    <xf numFmtId="4" fontId="9" fillId="53" borderId="20" xfId="146" applyNumberFormat="1" applyFont="1" applyFill="1" applyBorder="1" applyAlignment="1">
      <alignment vertical="top"/>
      <protection/>
    </xf>
    <xf numFmtId="2" fontId="9" fillId="53" borderId="20" xfId="146" applyNumberFormat="1" applyFont="1" applyFill="1" applyBorder="1" applyAlignment="1">
      <alignment horizontal="center" vertical="top"/>
      <protection/>
    </xf>
    <xf numFmtId="4" fontId="9" fillId="53" borderId="21" xfId="66" applyNumberFormat="1" applyFont="1" applyFill="1" applyBorder="1" applyAlignment="1">
      <alignment/>
    </xf>
    <xf numFmtId="2" fontId="9" fillId="53" borderId="23" xfId="146" applyNumberFormat="1" applyFont="1" applyFill="1" applyBorder="1" applyAlignment="1">
      <alignment vertical="top"/>
      <protection/>
    </xf>
    <xf numFmtId="2" fontId="9" fillId="53" borderId="24" xfId="146" applyNumberFormat="1" applyFont="1" applyFill="1" applyBorder="1" applyAlignment="1">
      <alignment horizontal="center" vertical="top"/>
      <protection/>
    </xf>
    <xf numFmtId="2" fontId="9" fillId="53" borderId="23" xfId="146" applyNumberFormat="1" applyFont="1" applyFill="1" applyBorder="1" applyAlignment="1">
      <alignment vertical="top" wrapText="1"/>
      <protection/>
    </xf>
    <xf numFmtId="4" fontId="9" fillId="53" borderId="24" xfId="146" applyNumberFormat="1" applyFont="1" applyFill="1" applyBorder="1" applyAlignment="1">
      <alignment/>
      <protection/>
    </xf>
    <xf numFmtId="2" fontId="9" fillId="53" borderId="24" xfId="146" applyNumberFormat="1" applyFont="1" applyFill="1" applyBorder="1" applyAlignment="1">
      <alignment horizontal="center"/>
      <protection/>
    </xf>
    <xf numFmtId="4" fontId="9" fillId="52" borderId="0" xfId="146" applyNumberFormat="1" applyFont="1" applyFill="1" applyAlignment="1">
      <alignment vertical="top"/>
      <protection/>
    </xf>
    <xf numFmtId="0" fontId="25" fillId="52" borderId="0" xfId="146" applyFont="1" applyFill="1">
      <alignment/>
      <protection/>
    </xf>
    <xf numFmtId="4" fontId="25" fillId="52" borderId="0" xfId="146" applyNumberFormat="1" applyFont="1" applyFill="1">
      <alignment/>
      <protection/>
    </xf>
    <xf numFmtId="0" fontId="26" fillId="52" borderId="27" xfId="146" applyFont="1" applyFill="1" applyBorder="1">
      <alignment/>
      <protection/>
    </xf>
    <xf numFmtId="0" fontId="26" fillId="52" borderId="25" xfId="146" applyFont="1" applyFill="1" applyBorder="1">
      <alignment/>
      <protection/>
    </xf>
    <xf numFmtId="4" fontId="5" fillId="52" borderId="25" xfId="143" applyNumberFormat="1" applyFont="1" applyFill="1" applyBorder="1" applyAlignment="1">
      <alignment horizontal="right"/>
      <protection/>
    </xf>
    <xf numFmtId="4" fontId="27" fillId="52" borderId="26" xfId="146" applyNumberFormat="1" applyFont="1" applyFill="1" applyBorder="1" applyAlignment="1">
      <alignment horizontal="right"/>
      <protection/>
    </xf>
    <xf numFmtId="0" fontId="9" fillId="35" borderId="19" xfId="146" applyFont="1" applyFill="1" applyBorder="1" applyAlignment="1">
      <alignment vertical="top"/>
      <protection/>
    </xf>
    <xf numFmtId="0" fontId="9" fillId="52" borderId="20" xfId="146" applyFont="1" applyFill="1" applyBorder="1" applyAlignment="1">
      <alignment horizontal="center" vertical="top"/>
      <protection/>
    </xf>
    <xf numFmtId="0" fontId="9" fillId="52" borderId="24" xfId="146" applyFont="1" applyFill="1" applyBorder="1" applyAlignment="1">
      <alignment horizontal="center" vertical="top"/>
      <protection/>
    </xf>
    <xf numFmtId="0" fontId="9" fillId="52" borderId="25" xfId="146" applyFont="1" applyFill="1" applyBorder="1" applyAlignment="1">
      <alignment vertical="top"/>
      <protection/>
    </xf>
    <xf numFmtId="4" fontId="96" fillId="35" borderId="26" xfId="146" applyNumberFormat="1" applyFont="1" applyFill="1" applyBorder="1" applyAlignment="1">
      <alignment vertical="top"/>
      <protection/>
    </xf>
    <xf numFmtId="4" fontId="97" fillId="35" borderId="26" xfId="146" applyNumberFormat="1" applyFont="1" applyFill="1" applyBorder="1" applyAlignment="1">
      <alignment vertical="top"/>
      <protection/>
    </xf>
    <xf numFmtId="185" fontId="2" fillId="35" borderId="0" xfId="146" applyNumberFormat="1" applyFont="1" applyFill="1">
      <alignment/>
      <protection/>
    </xf>
    <xf numFmtId="4" fontId="9" fillId="52" borderId="22" xfId="66" applyNumberFormat="1" applyFont="1" applyFill="1" applyBorder="1" applyAlignment="1">
      <alignment vertical="top"/>
    </xf>
    <xf numFmtId="0" fontId="9" fillId="52" borderId="49" xfId="146" applyFont="1" applyFill="1" applyBorder="1" applyAlignment="1">
      <alignment vertical="top"/>
      <protection/>
    </xf>
    <xf numFmtId="4" fontId="9" fillId="52" borderId="49" xfId="146" applyNumberFormat="1" applyFont="1" applyFill="1" applyBorder="1" applyAlignment="1">
      <alignment vertical="top"/>
      <protection/>
    </xf>
    <xf numFmtId="0" fontId="9" fillId="52" borderId="49" xfId="146" applyFont="1" applyFill="1" applyBorder="1" applyAlignment="1">
      <alignment horizontal="center" vertical="top"/>
      <protection/>
    </xf>
    <xf numFmtId="4" fontId="96" fillId="52" borderId="49" xfId="66" applyNumberFormat="1" applyFont="1" applyFill="1" applyBorder="1" applyAlignment="1">
      <alignment vertical="top"/>
    </xf>
    <xf numFmtId="0" fontId="27" fillId="53" borderId="44" xfId="152" applyFont="1" applyFill="1" applyBorder="1" applyAlignment="1" applyProtection="1">
      <alignment/>
      <protection locked="0"/>
    </xf>
    <xf numFmtId="0" fontId="5" fillId="52" borderId="18" xfId="130" applyFont="1" applyFill="1" applyBorder="1" applyAlignment="1">
      <alignment horizontal="left" vertical="top" wrapText="1"/>
      <protection/>
    </xf>
    <xf numFmtId="0" fontId="27" fillId="53" borderId="0" xfId="146" applyFont="1" applyFill="1" applyBorder="1" applyAlignment="1">
      <alignment vertical="top"/>
      <protection/>
    </xf>
    <xf numFmtId="4" fontId="26" fillId="53" borderId="0" xfId="146" applyNumberFormat="1" applyFont="1" applyFill="1" applyAlignment="1">
      <alignment vertical="top"/>
      <protection/>
    </xf>
    <xf numFmtId="0" fontId="25" fillId="53" borderId="0" xfId="146" applyFont="1" applyFill="1" applyAlignment="1">
      <alignment vertical="top"/>
      <protection/>
    </xf>
    <xf numFmtId="4" fontId="25" fillId="53" borderId="0" xfId="146" applyNumberFormat="1" applyFont="1" applyFill="1" applyAlignment="1">
      <alignment vertical="top"/>
      <protection/>
    </xf>
    <xf numFmtId="0" fontId="26" fillId="53" borderId="20" xfId="146" applyFont="1" applyFill="1" applyBorder="1" applyAlignment="1">
      <alignment horizontal="centerContinuous" vertical="top"/>
      <protection/>
    </xf>
    <xf numFmtId="0" fontId="26" fillId="53" borderId="24" xfId="146" applyFont="1" applyFill="1" applyBorder="1" applyAlignment="1">
      <alignment horizontal="centerContinuous" vertical="top"/>
      <protection/>
    </xf>
    <xf numFmtId="0" fontId="26" fillId="53" borderId="36" xfId="146" applyFont="1" applyFill="1" applyBorder="1" applyAlignment="1">
      <alignment horizontal="centerContinuous" vertical="top"/>
      <protection/>
    </xf>
    <xf numFmtId="4" fontId="9" fillId="53" borderId="22" xfId="66" applyNumberFormat="1" applyFont="1" applyFill="1" applyBorder="1" applyAlignment="1">
      <alignment/>
    </xf>
    <xf numFmtId="4" fontId="26" fillId="35" borderId="24" xfId="145" applyNumberFormat="1" applyFont="1" applyFill="1" applyBorder="1" applyAlignment="1">
      <alignment/>
      <protection/>
    </xf>
    <xf numFmtId="4" fontId="9" fillId="53" borderId="21" xfId="66" applyNumberFormat="1" applyFont="1" applyFill="1" applyBorder="1" applyAlignment="1">
      <alignment vertical="top"/>
    </xf>
    <xf numFmtId="2" fontId="9" fillId="53" borderId="27" xfId="146" applyNumberFormat="1" applyFont="1" applyFill="1" applyBorder="1" applyAlignment="1">
      <alignment vertical="top"/>
      <protection/>
    </xf>
    <xf numFmtId="2" fontId="9" fillId="53" borderId="25" xfId="146" applyNumberFormat="1" applyFont="1" applyFill="1" applyBorder="1" applyAlignment="1">
      <alignment vertical="top"/>
      <protection/>
    </xf>
    <xf numFmtId="2" fontId="9" fillId="53" borderId="25" xfId="146" applyNumberFormat="1" applyFont="1" applyFill="1" applyBorder="1" applyAlignment="1">
      <alignment horizontal="center" vertical="top"/>
      <protection/>
    </xf>
    <xf numFmtId="4" fontId="96" fillId="53" borderId="26" xfId="146" applyNumberFormat="1" applyFont="1" applyFill="1" applyBorder="1" applyAlignment="1">
      <alignment vertical="top"/>
      <protection/>
    </xf>
    <xf numFmtId="0" fontId="9" fillId="53" borderId="19" xfId="146" applyFont="1" applyFill="1" applyBorder="1" applyAlignment="1">
      <alignment vertical="top"/>
      <protection/>
    </xf>
    <xf numFmtId="0" fontId="9" fillId="53" borderId="20" xfId="146" applyFont="1" applyFill="1" applyBorder="1" applyAlignment="1">
      <alignment horizontal="center" vertical="top"/>
      <protection/>
    </xf>
    <xf numFmtId="0" fontId="9" fillId="53" borderId="35" xfId="146" applyFont="1" applyFill="1" applyBorder="1" applyAlignment="1">
      <alignment vertical="top"/>
      <protection/>
    </xf>
    <xf numFmtId="4" fontId="9" fillId="53" borderId="36" xfId="146" applyNumberFormat="1" applyFont="1" applyFill="1" applyBorder="1" applyAlignment="1">
      <alignment vertical="top"/>
      <protection/>
    </xf>
    <xf numFmtId="0" fontId="9" fillId="53" borderId="36" xfId="146" applyFont="1" applyFill="1" applyBorder="1" applyAlignment="1">
      <alignment vertical="top"/>
      <protection/>
    </xf>
    <xf numFmtId="4" fontId="12" fillId="53" borderId="36" xfId="146" applyNumberFormat="1" applyFont="1" applyFill="1" applyBorder="1" applyAlignment="1">
      <alignment horizontal="right" vertical="top"/>
      <protection/>
    </xf>
    <xf numFmtId="4" fontId="96" fillId="53" borderId="54" xfId="146" applyNumberFormat="1" applyFont="1" applyFill="1" applyBorder="1" applyAlignment="1">
      <alignment vertical="top"/>
      <protection/>
    </xf>
    <xf numFmtId="4" fontId="97" fillId="53" borderId="26" xfId="146" applyNumberFormat="1" applyFont="1" applyFill="1" applyBorder="1" applyAlignment="1">
      <alignment vertical="top"/>
      <protection/>
    </xf>
    <xf numFmtId="0" fontId="9" fillId="35" borderId="19" xfId="146" applyFont="1" applyFill="1" applyBorder="1" applyAlignment="1">
      <alignment horizontal="right"/>
      <protection/>
    </xf>
    <xf numFmtId="193" fontId="17" fillId="35" borderId="21" xfId="118" applyFont="1" applyFill="1" applyBorder="1" applyAlignment="1">
      <alignment/>
    </xf>
    <xf numFmtId="0" fontId="9" fillId="35" borderId="23" xfId="146" applyFont="1" applyFill="1" applyBorder="1" applyAlignment="1">
      <alignment horizontal="right"/>
      <protection/>
    </xf>
    <xf numFmtId="0" fontId="2" fillId="35" borderId="23" xfId="146" applyFont="1" applyFill="1" applyBorder="1" applyAlignment="1">
      <alignment horizontal="right" vertical="top"/>
      <protection/>
    </xf>
    <xf numFmtId="0" fontId="2" fillId="35" borderId="27" xfId="146" applyFont="1" applyFill="1" applyBorder="1">
      <alignment/>
      <protection/>
    </xf>
    <xf numFmtId="4" fontId="1" fillId="35" borderId="25" xfId="146" applyNumberFormat="1" applyFont="1" applyFill="1" applyBorder="1" applyAlignment="1">
      <alignment horizontal="right" vertical="top"/>
      <protection/>
    </xf>
    <xf numFmtId="0" fontId="12" fillId="35" borderId="0" xfId="149" applyFont="1" applyFill="1" applyBorder="1" applyAlignment="1" applyProtection="1" quotePrefix="1">
      <alignment horizontal="left" vertical="center"/>
      <protection/>
    </xf>
    <xf numFmtId="193" fontId="12" fillId="35" borderId="0" xfId="118" applyFont="1" applyFill="1" applyBorder="1" applyAlignment="1">
      <alignment horizontal="right" vertical="center"/>
    </xf>
    <xf numFmtId="0" fontId="12" fillId="35" borderId="0" xfId="149" applyFont="1" applyFill="1" applyBorder="1" applyAlignment="1">
      <alignment horizontal="center" vertical="center"/>
      <protection/>
    </xf>
    <xf numFmtId="193" fontId="9" fillId="35" borderId="55" xfId="115" applyNumberFormat="1" applyFont="1" applyFill="1" applyBorder="1" applyAlignment="1" applyProtection="1" quotePrefix="1">
      <alignment horizontal="left" vertical="center"/>
      <protection/>
    </xf>
    <xf numFmtId="4" fontId="9" fillId="35" borderId="20" xfId="118" applyNumberFormat="1" applyFont="1" applyFill="1" applyBorder="1" applyAlignment="1" applyProtection="1">
      <alignment horizontal="right" vertical="center"/>
      <protection/>
    </xf>
    <xf numFmtId="193" fontId="9" fillId="35" borderId="20" xfId="115" applyNumberFormat="1" applyFont="1" applyFill="1" applyBorder="1" applyAlignment="1" applyProtection="1">
      <alignment horizontal="center" vertical="center"/>
      <protection/>
    </xf>
    <xf numFmtId="4" fontId="0" fillId="35" borderId="21" xfId="0" applyNumberFormat="1" applyFont="1" applyFill="1" applyBorder="1" applyAlignment="1" applyProtection="1">
      <alignment horizontal="right" vertical="center"/>
      <protection locked="0"/>
    </xf>
    <xf numFmtId="193" fontId="9" fillId="35" borderId="56" xfId="115" applyNumberFormat="1" applyFont="1" applyFill="1" applyBorder="1" applyAlignment="1" applyProtection="1" quotePrefix="1">
      <alignment horizontal="left" vertical="center"/>
      <protection/>
    </xf>
    <xf numFmtId="190" fontId="9" fillId="35" borderId="24" xfId="118" applyNumberFormat="1" applyFont="1" applyFill="1" applyBorder="1" applyAlignment="1" applyProtection="1">
      <alignment horizontal="right" vertical="center"/>
      <protection/>
    </xf>
    <xf numFmtId="193" fontId="9" fillId="35" borderId="24" xfId="115" applyNumberFormat="1" applyFont="1" applyFill="1" applyBorder="1" applyAlignment="1" applyProtection="1">
      <alignment horizontal="center" vertical="center"/>
      <protection/>
    </xf>
    <xf numFmtId="4" fontId="9" fillId="35" borderId="24" xfId="118" applyNumberFormat="1" applyFont="1" applyFill="1" applyBorder="1" applyAlignment="1" applyProtection="1">
      <alignment horizontal="right" vertical="center"/>
      <protection/>
    </xf>
    <xf numFmtId="4" fontId="0" fillId="35" borderId="22" xfId="0" applyNumberFormat="1" applyFont="1" applyFill="1" applyBorder="1" applyAlignment="1" applyProtection="1">
      <alignment horizontal="right" vertical="center"/>
      <protection locked="0"/>
    </xf>
    <xf numFmtId="0" fontId="9" fillId="35" borderId="57" xfId="149" applyFont="1" applyFill="1" applyBorder="1" applyAlignment="1" applyProtection="1" quotePrefix="1">
      <alignment horizontal="left" vertical="center"/>
      <protection/>
    </xf>
    <xf numFmtId="4" fontId="9" fillId="35" borderId="0" xfId="118" applyNumberFormat="1" applyFont="1" applyFill="1" applyBorder="1" applyAlignment="1">
      <alignment vertical="center"/>
    </xf>
    <xf numFmtId="193" fontId="9" fillId="35" borderId="58" xfId="115" applyNumberFormat="1" applyFont="1" applyFill="1" applyBorder="1" applyAlignment="1">
      <alignment vertical="center"/>
    </xf>
    <xf numFmtId="193" fontId="9" fillId="35" borderId="25" xfId="118" applyFont="1" applyFill="1" applyBorder="1" applyAlignment="1">
      <alignment horizontal="right" vertical="center"/>
    </xf>
    <xf numFmtId="193" fontId="9" fillId="35" borderId="25" xfId="115" applyNumberFormat="1" applyFont="1" applyFill="1" applyBorder="1" applyAlignment="1">
      <alignment horizontal="center" vertical="center"/>
    </xf>
    <xf numFmtId="4" fontId="12" fillId="35" borderId="26" xfId="118" applyNumberFormat="1" applyFont="1" applyFill="1" applyBorder="1" applyAlignment="1" applyProtection="1">
      <alignment horizontal="right" vertical="center"/>
      <protection/>
    </xf>
    <xf numFmtId="0" fontId="9" fillId="35" borderId="55" xfId="149" applyFont="1" applyFill="1" applyBorder="1" applyAlignment="1" applyProtection="1" quotePrefix="1">
      <alignment horizontal="left" vertical="center"/>
      <protection/>
    </xf>
    <xf numFmtId="194" fontId="9" fillId="35" borderId="20" xfId="118" applyNumberFormat="1" applyFont="1" applyFill="1" applyBorder="1" applyAlignment="1" applyProtection="1">
      <alignment horizontal="right" vertical="center"/>
      <protection/>
    </xf>
    <xf numFmtId="0" fontId="9" fillId="35" borderId="20" xfId="149" applyFont="1" applyFill="1" applyBorder="1" applyAlignment="1" applyProtection="1">
      <alignment horizontal="center" vertical="center"/>
      <protection/>
    </xf>
    <xf numFmtId="0" fontId="9" fillId="35" borderId="56" xfId="149" applyFont="1" applyFill="1" applyBorder="1" applyAlignment="1" applyProtection="1" quotePrefix="1">
      <alignment horizontal="left" vertical="center"/>
      <protection/>
    </xf>
    <xf numFmtId="0" fontId="9" fillId="35" borderId="24" xfId="149" applyFont="1" applyFill="1" applyBorder="1" applyAlignment="1" applyProtection="1">
      <alignment horizontal="center" vertical="center"/>
      <protection/>
    </xf>
    <xf numFmtId="189" fontId="9" fillId="35" borderId="24" xfId="118" applyNumberFormat="1" applyFont="1" applyFill="1" applyBorder="1" applyAlignment="1" applyProtection="1">
      <alignment horizontal="right" vertical="center"/>
      <protection/>
    </xf>
    <xf numFmtId="0" fontId="9" fillId="35" borderId="58" xfId="149" applyFont="1" applyFill="1" applyBorder="1" applyAlignment="1" applyProtection="1" quotePrefix="1">
      <alignment horizontal="left" vertical="center"/>
      <protection/>
    </xf>
    <xf numFmtId="193" fontId="9" fillId="35" borderId="25" xfId="118" applyFont="1" applyFill="1" applyBorder="1" applyAlignment="1" applyProtection="1">
      <alignment horizontal="right" vertical="center"/>
      <protection/>
    </xf>
    <xf numFmtId="0" fontId="9" fillId="35" borderId="25" xfId="149" applyFont="1" applyFill="1" applyBorder="1" applyAlignment="1" applyProtection="1">
      <alignment horizontal="center" vertical="center"/>
      <protection/>
    </xf>
    <xf numFmtId="193" fontId="12" fillId="35" borderId="26" xfId="118" applyFont="1" applyFill="1" applyBorder="1" applyAlignment="1" applyProtection="1">
      <alignment horizontal="right" vertical="center"/>
      <protection locked="0"/>
    </xf>
    <xf numFmtId="0" fontId="12" fillId="52" borderId="20" xfId="146" applyFont="1" applyFill="1" applyBorder="1" applyAlignment="1">
      <alignment horizontal="right" vertical="top"/>
      <protection/>
    </xf>
    <xf numFmtId="4" fontId="12" fillId="35" borderId="20" xfId="146" applyNumberFormat="1" applyFont="1" applyFill="1" applyBorder="1" applyAlignment="1">
      <alignment horizontal="right" vertical="top"/>
      <protection/>
    </xf>
    <xf numFmtId="4" fontId="9" fillId="35" borderId="21" xfId="146" applyNumberFormat="1" applyFont="1" applyFill="1" applyBorder="1" applyAlignment="1">
      <alignment vertical="top"/>
      <protection/>
    </xf>
    <xf numFmtId="0" fontId="12" fillId="52" borderId="25" xfId="146" applyFont="1" applyFill="1" applyBorder="1" applyAlignment="1">
      <alignment horizontal="right" vertical="top"/>
      <protection/>
    </xf>
    <xf numFmtId="4" fontId="12" fillId="35" borderId="40" xfId="146" applyNumberFormat="1" applyFont="1" applyFill="1" applyBorder="1" applyAlignment="1">
      <alignment horizontal="right" vertical="top"/>
      <protection/>
    </xf>
    <xf numFmtId="0" fontId="0" fillId="52" borderId="0" xfId="0" applyFont="1" applyFill="1" applyBorder="1" applyAlignment="1">
      <alignment horizontal="left"/>
    </xf>
    <xf numFmtId="0" fontId="0" fillId="8" borderId="0" xfId="0" applyFill="1" applyAlignment="1">
      <alignment/>
    </xf>
    <xf numFmtId="0" fontId="12" fillId="52" borderId="0" xfId="146" applyFont="1" applyFill="1">
      <alignment/>
      <protection/>
    </xf>
    <xf numFmtId="0" fontId="26" fillId="52" borderId="19" xfId="146" applyFont="1" applyFill="1" applyBorder="1">
      <alignment/>
      <protection/>
    </xf>
    <xf numFmtId="0" fontId="26" fillId="52" borderId="20" xfId="146" applyFont="1" applyFill="1" applyBorder="1">
      <alignment/>
      <protection/>
    </xf>
    <xf numFmtId="0" fontId="26" fillId="52" borderId="20" xfId="146" applyFont="1" applyFill="1" applyBorder="1" applyAlignment="1">
      <alignment horizontal="centerContinuous"/>
      <protection/>
    </xf>
    <xf numFmtId="4" fontId="26" fillId="52" borderId="20" xfId="146" applyNumberFormat="1" applyFont="1" applyFill="1" applyBorder="1">
      <alignment/>
      <protection/>
    </xf>
    <xf numFmtId="4" fontId="9" fillId="52" borderId="21" xfId="66" applyNumberFormat="1" applyFont="1" applyFill="1" applyBorder="1" applyAlignment="1">
      <alignment/>
    </xf>
    <xf numFmtId="0" fontId="26" fillId="52" borderId="23" xfId="146" applyFont="1" applyFill="1" applyBorder="1">
      <alignment/>
      <protection/>
    </xf>
    <xf numFmtId="2" fontId="26" fillId="52" borderId="24" xfId="146" applyNumberFormat="1" applyFont="1" applyFill="1" applyBorder="1">
      <alignment/>
      <protection/>
    </xf>
    <xf numFmtId="0" fontId="26" fillId="52" borderId="24" xfId="146" applyFont="1" applyFill="1" applyBorder="1" applyAlignment="1">
      <alignment horizontal="centerContinuous"/>
      <protection/>
    </xf>
    <xf numFmtId="4" fontId="26" fillId="52" borderId="24" xfId="146" applyNumberFormat="1" applyFont="1" applyFill="1" applyBorder="1">
      <alignment/>
      <protection/>
    </xf>
    <xf numFmtId="4" fontId="9" fillId="52" borderId="22" xfId="66" applyNumberFormat="1" applyFont="1" applyFill="1" applyBorder="1" applyAlignment="1">
      <alignment/>
    </xf>
    <xf numFmtId="0" fontId="26" fillId="52" borderId="35" xfId="146" applyFont="1" applyFill="1" applyBorder="1">
      <alignment/>
      <protection/>
    </xf>
    <xf numFmtId="2" fontId="26" fillId="52" borderId="36" xfId="146" applyNumberFormat="1" applyFont="1" applyFill="1" applyBorder="1">
      <alignment/>
      <protection/>
    </xf>
    <xf numFmtId="0" fontId="26" fillId="52" borderId="36" xfId="146" applyFont="1" applyFill="1" applyBorder="1" applyAlignment="1">
      <alignment horizontal="centerContinuous"/>
      <protection/>
    </xf>
    <xf numFmtId="4" fontId="26" fillId="52" borderId="36" xfId="146" applyNumberFormat="1" applyFont="1" applyFill="1" applyBorder="1">
      <alignment/>
      <protection/>
    </xf>
    <xf numFmtId="0" fontId="5" fillId="52" borderId="18" xfId="0" applyFont="1" applyFill="1" applyBorder="1" applyAlignment="1">
      <alignment vertical="top"/>
    </xf>
    <xf numFmtId="4" fontId="26" fillId="52" borderId="0" xfId="146" applyNumberFormat="1" applyFont="1" applyFill="1">
      <alignment/>
      <protection/>
    </xf>
    <xf numFmtId="192" fontId="2" fillId="52" borderId="0" xfId="146" applyNumberFormat="1" applyFont="1" applyFill="1">
      <alignment/>
      <protection/>
    </xf>
    <xf numFmtId="39" fontId="9" fillId="35" borderId="0" xfId="146" applyNumberFormat="1" applyFont="1" applyFill="1" applyBorder="1" applyAlignment="1">
      <alignment horizontal="center"/>
      <protection/>
    </xf>
    <xf numFmtId="4" fontId="9" fillId="35" borderId="0" xfId="146" applyNumberFormat="1" applyFont="1" applyFill="1" applyBorder="1" applyAlignment="1" quotePrefix="1">
      <alignment horizontal="right"/>
      <protection/>
    </xf>
    <xf numFmtId="4" fontId="17" fillId="35" borderId="0" xfId="146" applyNumberFormat="1" applyFont="1" applyFill="1" applyBorder="1">
      <alignment/>
      <protection/>
    </xf>
    <xf numFmtId="4" fontId="9" fillId="35" borderId="0" xfId="146" applyNumberFormat="1" applyFont="1" applyFill="1" applyBorder="1" applyAlignment="1">
      <alignment horizontal="right"/>
      <protection/>
    </xf>
    <xf numFmtId="4" fontId="27" fillId="54" borderId="26" xfId="144" applyNumberFormat="1" applyFont="1" applyFill="1" applyBorder="1" applyAlignment="1">
      <alignment/>
      <protection/>
    </xf>
    <xf numFmtId="4" fontId="12" fillId="54" borderId="26" xfId="146" applyNumberFormat="1" applyFont="1" applyFill="1" applyBorder="1">
      <alignment/>
      <protection/>
    </xf>
    <xf numFmtId="193" fontId="17" fillId="54" borderId="0" xfId="118" applyFont="1" applyFill="1" applyBorder="1" applyAlignment="1">
      <alignment/>
    </xf>
    <xf numFmtId="4" fontId="5" fillId="35" borderId="25" xfId="0" applyNumberFormat="1" applyFont="1" applyFill="1" applyBorder="1" applyAlignment="1">
      <alignment horizontal="right"/>
    </xf>
    <xf numFmtId="0" fontId="45" fillId="8" borderId="0" xfId="146" applyFont="1" applyFill="1" applyAlignment="1">
      <alignment horizontal="left"/>
      <protection/>
    </xf>
    <xf numFmtId="4" fontId="45" fillId="8" borderId="0" xfId="146" applyNumberFormat="1" applyFont="1" applyFill="1" applyAlignment="1">
      <alignment/>
      <protection/>
    </xf>
    <xf numFmtId="0" fontId="45" fillId="8" borderId="0" xfId="146" applyFont="1" applyFill="1" applyAlignment="1">
      <alignment/>
      <protection/>
    </xf>
    <xf numFmtId="0" fontId="2" fillId="8" borderId="0" xfId="146" applyFont="1" applyFill="1">
      <alignment/>
      <protection/>
    </xf>
    <xf numFmtId="0" fontId="46" fillId="8" borderId="0" xfId="146" applyFont="1" applyFill="1" applyAlignment="1" quotePrefix="1">
      <alignment horizontal="left"/>
      <protection/>
    </xf>
    <xf numFmtId="4" fontId="47" fillId="8" borderId="0" xfId="146" applyNumberFormat="1" applyFont="1" applyFill="1">
      <alignment/>
      <protection/>
    </xf>
    <xf numFmtId="0" fontId="47" fillId="8" borderId="0" xfId="146" applyFont="1" applyFill="1">
      <alignment/>
      <protection/>
    </xf>
    <xf numFmtId="0" fontId="47" fillId="8" borderId="19" xfId="146" applyFont="1" applyFill="1" applyBorder="1">
      <alignment/>
      <protection/>
    </xf>
    <xf numFmtId="4" fontId="47" fillId="8" borderId="20" xfId="146" applyNumberFormat="1" applyFont="1" applyFill="1" applyBorder="1">
      <alignment/>
      <protection/>
    </xf>
    <xf numFmtId="0" fontId="47" fillId="8" borderId="20" xfId="146" applyFont="1" applyFill="1" applyBorder="1" applyAlignment="1">
      <alignment horizontal="centerContinuous"/>
      <protection/>
    </xf>
    <xf numFmtId="4" fontId="47" fillId="8" borderId="21" xfId="146" applyNumberFormat="1" applyFont="1" applyFill="1" applyBorder="1">
      <alignment/>
      <protection/>
    </xf>
    <xf numFmtId="0" fontId="47" fillId="8" borderId="23" xfId="146" applyFont="1" applyFill="1" applyBorder="1">
      <alignment/>
      <protection/>
    </xf>
    <xf numFmtId="4" fontId="47" fillId="8" borderId="24" xfId="146" applyNumberFormat="1" applyFont="1" applyFill="1" applyBorder="1">
      <alignment/>
      <protection/>
    </xf>
    <xf numFmtId="0" fontId="47" fillId="8" borderId="24" xfId="146" applyFont="1" applyFill="1" applyBorder="1" applyAlignment="1">
      <alignment horizontal="centerContinuous"/>
      <protection/>
    </xf>
    <xf numFmtId="4" fontId="47" fillId="8" borderId="22" xfId="146" applyNumberFormat="1" applyFont="1" applyFill="1" applyBorder="1">
      <alignment/>
      <protection/>
    </xf>
    <xf numFmtId="0" fontId="47" fillId="8" borderId="27" xfId="146" applyFont="1" applyFill="1" applyBorder="1">
      <alignment/>
      <protection/>
    </xf>
    <xf numFmtId="4" fontId="47" fillId="8" borderId="25" xfId="146" applyNumberFormat="1" applyFont="1" applyFill="1" applyBorder="1">
      <alignment/>
      <protection/>
    </xf>
    <xf numFmtId="0" fontId="47" fillId="8" borderId="25" xfId="146" applyFont="1" applyFill="1" applyBorder="1">
      <alignment/>
      <protection/>
    </xf>
    <xf numFmtId="4" fontId="46" fillId="8" borderId="25" xfId="146" applyNumberFormat="1" applyFont="1" applyFill="1" applyBorder="1" applyAlignment="1">
      <alignment horizontal="right"/>
      <protection/>
    </xf>
    <xf numFmtId="4" fontId="46" fillId="8" borderId="26" xfId="146" applyNumberFormat="1" applyFont="1" applyFill="1" applyBorder="1" applyAlignment="1">
      <alignment horizontal="right"/>
      <protection/>
    </xf>
    <xf numFmtId="0" fontId="47" fillId="8" borderId="0" xfId="146" applyFont="1" applyFill="1" applyBorder="1">
      <alignment/>
      <protection/>
    </xf>
    <xf numFmtId="4" fontId="47" fillId="8" borderId="0" xfId="146" applyNumberFormat="1" applyFont="1" applyFill="1" applyBorder="1">
      <alignment/>
      <protection/>
    </xf>
    <xf numFmtId="4" fontId="46" fillId="8" borderId="0" xfId="146" applyNumberFormat="1" applyFont="1" applyFill="1" applyBorder="1" applyAlignment="1">
      <alignment horizontal="right"/>
      <protection/>
    </xf>
    <xf numFmtId="0" fontId="46" fillId="8" borderId="0" xfId="146" applyFont="1" applyFill="1" applyAlignment="1">
      <alignment horizontal="left"/>
      <protection/>
    </xf>
    <xf numFmtId="0" fontId="46" fillId="8" borderId="0" xfId="146" applyFont="1" applyFill="1" applyAlignment="1">
      <alignment horizontal="centerContinuous"/>
      <protection/>
    </xf>
    <xf numFmtId="4" fontId="46" fillId="8" borderId="0" xfId="146" applyNumberFormat="1" applyFont="1" applyFill="1" applyAlignment="1">
      <alignment horizontal="centerContinuous"/>
      <protection/>
    </xf>
    <xf numFmtId="0" fontId="47" fillId="8" borderId="24" xfId="146" applyFont="1" applyFill="1" applyBorder="1" applyAlignment="1">
      <alignment horizontal="center"/>
      <protection/>
    </xf>
    <xf numFmtId="0" fontId="46" fillId="8" borderId="0" xfId="146" applyFont="1" applyFill="1" applyAlignment="1">
      <alignment/>
      <protection/>
    </xf>
    <xf numFmtId="0" fontId="46" fillId="8" borderId="0" xfId="146" applyFont="1" applyFill="1">
      <alignment/>
      <protection/>
    </xf>
    <xf numFmtId="0" fontId="47" fillId="8" borderId="24" xfId="146" applyFont="1" applyFill="1" applyBorder="1">
      <alignment/>
      <protection/>
    </xf>
    <xf numFmtId="4" fontId="46" fillId="8" borderId="24" xfId="146" applyNumberFormat="1" applyFont="1" applyFill="1" applyBorder="1" applyAlignment="1">
      <alignment horizontal="right"/>
      <protection/>
    </xf>
    <xf numFmtId="4" fontId="46" fillId="8" borderId="22" xfId="146" applyNumberFormat="1" applyFont="1" applyFill="1" applyBorder="1" applyAlignment="1">
      <alignment horizontal="right"/>
      <protection/>
    </xf>
    <xf numFmtId="4" fontId="46" fillId="8" borderId="0" xfId="146" applyNumberFormat="1" applyFont="1" applyFill="1">
      <alignment/>
      <protection/>
    </xf>
    <xf numFmtId="0" fontId="47" fillId="8" borderId="59" xfId="146" applyFont="1" applyFill="1" applyBorder="1">
      <alignment/>
      <protection/>
    </xf>
    <xf numFmtId="0" fontId="47" fillId="8" borderId="35" xfId="146" applyFont="1" applyFill="1" applyBorder="1">
      <alignment/>
      <protection/>
    </xf>
    <xf numFmtId="4" fontId="47" fillId="8" borderId="36" xfId="146" applyNumberFormat="1" applyFont="1" applyFill="1" applyBorder="1">
      <alignment/>
      <protection/>
    </xf>
    <xf numFmtId="0" fontId="47" fillId="8" borderId="36" xfId="146" applyFont="1" applyFill="1" applyBorder="1" applyAlignment="1">
      <alignment horizontal="center"/>
      <protection/>
    </xf>
    <xf numFmtId="0" fontId="48" fillId="8" borderId="0" xfId="146" applyFont="1" applyFill="1">
      <alignment/>
      <protection/>
    </xf>
    <xf numFmtId="4" fontId="48" fillId="8" borderId="0" xfId="146" applyNumberFormat="1" applyFont="1" applyFill="1">
      <alignment/>
      <protection/>
    </xf>
    <xf numFmtId="0" fontId="3" fillId="8" borderId="60" xfId="146" applyFont="1" applyFill="1" applyBorder="1" applyAlignment="1">
      <alignment horizontal="center" vertical="top" wrapText="1"/>
      <protection/>
    </xf>
    <xf numFmtId="4" fontId="3" fillId="8" borderId="60" xfId="146" applyNumberFormat="1" applyFont="1" applyFill="1" applyBorder="1" applyAlignment="1">
      <alignment horizontal="center" vertical="top" wrapText="1"/>
      <protection/>
    </xf>
    <xf numFmtId="0" fontId="9" fillId="8" borderId="60" xfId="146" applyFont="1" applyFill="1" applyBorder="1" applyAlignment="1">
      <alignment horizontal="left"/>
      <protection/>
    </xf>
    <xf numFmtId="4" fontId="9" fillId="8" borderId="60" xfId="66" applyNumberFormat="1" applyFont="1" applyFill="1" applyBorder="1" applyAlignment="1">
      <alignment/>
    </xf>
    <xf numFmtId="193" fontId="9" fillId="8" borderId="60" xfId="66" applyFont="1" applyFill="1" applyBorder="1" applyAlignment="1">
      <alignment horizontal="centerContinuous"/>
    </xf>
    <xf numFmtId="0" fontId="9" fillId="8" borderId="0" xfId="146" applyFont="1" applyFill="1">
      <alignment/>
      <protection/>
    </xf>
    <xf numFmtId="4" fontId="9" fillId="8" borderId="0" xfId="146" applyNumberFormat="1" applyFont="1" applyFill="1">
      <alignment/>
      <protection/>
    </xf>
    <xf numFmtId="39" fontId="9" fillId="8" borderId="0" xfId="146" applyNumberFormat="1" applyFont="1" applyFill="1" applyBorder="1" applyAlignment="1" quotePrefix="1">
      <alignment horizontal="left"/>
      <protection/>
    </xf>
    <xf numFmtId="0" fontId="12" fillId="8" borderId="0" xfId="146" applyFont="1" applyFill="1" applyAlignment="1" quotePrefix="1">
      <alignment horizontal="left"/>
      <protection/>
    </xf>
    <xf numFmtId="0" fontId="9" fillId="8" borderId="19" xfId="146" applyFont="1" applyFill="1" applyBorder="1">
      <alignment/>
      <protection/>
    </xf>
    <xf numFmtId="4" fontId="9" fillId="8" borderId="20" xfId="146" applyNumberFormat="1" applyFont="1" applyFill="1" applyBorder="1">
      <alignment/>
      <protection/>
    </xf>
    <xf numFmtId="39" fontId="9" fillId="8" borderId="20" xfId="146" applyNumberFormat="1" applyFont="1" applyFill="1" applyBorder="1" applyAlignment="1">
      <alignment horizontal="center"/>
      <protection/>
    </xf>
    <xf numFmtId="4" fontId="9" fillId="8" borderId="61" xfId="146" applyNumberFormat="1" applyFont="1" applyFill="1" applyBorder="1">
      <alignment/>
      <protection/>
    </xf>
    <xf numFmtId="4" fontId="9" fillId="8" borderId="34" xfId="66" applyNumberFormat="1" applyFont="1" applyFill="1" applyBorder="1" applyAlignment="1">
      <alignment/>
    </xf>
    <xf numFmtId="0" fontId="9" fillId="8" borderId="62" xfId="146" applyFont="1" applyFill="1" applyBorder="1">
      <alignment/>
      <protection/>
    </xf>
    <xf numFmtId="4" fontId="9" fillId="8" borderId="37" xfId="146" applyNumberFormat="1" applyFont="1" applyFill="1" applyBorder="1">
      <alignment/>
      <protection/>
    </xf>
    <xf numFmtId="39" fontId="9" fillId="8" borderId="37" xfId="146" applyNumberFormat="1" applyFont="1" applyFill="1" applyBorder="1" applyAlignment="1">
      <alignment horizontal="center"/>
      <protection/>
    </xf>
    <xf numFmtId="4" fontId="9" fillId="8" borderId="63" xfId="146" applyNumberFormat="1" applyFont="1" applyFill="1" applyBorder="1">
      <alignment/>
      <protection/>
    </xf>
    <xf numFmtId="4" fontId="9" fillId="8" borderId="22" xfId="66" applyNumberFormat="1" applyFont="1" applyFill="1" applyBorder="1" applyAlignment="1">
      <alignment/>
    </xf>
    <xf numFmtId="0" fontId="9" fillId="8" borderId="23" xfId="146" applyFont="1" applyFill="1" applyBorder="1">
      <alignment/>
      <protection/>
    </xf>
    <xf numFmtId="4" fontId="9" fillId="8" borderId="24" xfId="146" applyNumberFormat="1" applyFont="1" applyFill="1" applyBorder="1">
      <alignment/>
      <protection/>
    </xf>
    <xf numFmtId="39" fontId="9" fillId="8" borderId="24" xfId="146" applyNumberFormat="1" applyFont="1" applyFill="1" applyBorder="1" applyAlignment="1">
      <alignment horizontal="center"/>
      <protection/>
    </xf>
    <xf numFmtId="4" fontId="9" fillId="8" borderId="64" xfId="146" applyNumberFormat="1" applyFont="1" applyFill="1" applyBorder="1">
      <alignment/>
      <protection/>
    </xf>
    <xf numFmtId="39" fontId="12" fillId="8" borderId="27" xfId="146" applyNumberFormat="1" applyFont="1" applyFill="1" applyBorder="1" applyAlignment="1" quotePrefix="1">
      <alignment horizontal="left"/>
      <protection/>
    </xf>
    <xf numFmtId="4" fontId="12" fillId="8" borderId="25" xfId="146" applyNumberFormat="1" applyFont="1" applyFill="1" applyBorder="1" applyAlignment="1" quotePrefix="1">
      <alignment horizontal="left"/>
      <protection/>
    </xf>
    <xf numFmtId="39" fontId="9" fillId="8" borderId="25" xfId="146" applyNumberFormat="1" applyFont="1" applyFill="1" applyBorder="1">
      <alignment/>
      <protection/>
    </xf>
    <xf numFmtId="4" fontId="12" fillId="8" borderId="25" xfId="146" applyNumberFormat="1" applyFont="1" applyFill="1" applyBorder="1" applyAlignment="1" quotePrefix="1">
      <alignment horizontal="right"/>
      <protection/>
    </xf>
    <xf numFmtId="4" fontId="12" fillId="8" borderId="65" xfId="146" applyNumberFormat="1" applyFont="1" applyFill="1" applyBorder="1">
      <alignment/>
      <protection/>
    </xf>
    <xf numFmtId="4" fontId="9" fillId="8" borderId="21" xfId="66" applyNumberFormat="1" applyFont="1" applyFill="1" applyBorder="1" applyAlignment="1">
      <alignment/>
    </xf>
    <xf numFmtId="0" fontId="9" fillId="8" borderId="27" xfId="146" applyFont="1" applyFill="1" applyBorder="1">
      <alignment/>
      <protection/>
    </xf>
    <xf numFmtId="4" fontId="12" fillId="8" borderId="26" xfId="146" applyNumberFormat="1" applyFont="1" applyFill="1" applyBorder="1">
      <alignment/>
      <protection/>
    </xf>
    <xf numFmtId="0" fontId="9" fillId="8" borderId="0" xfId="146" applyFont="1" applyFill="1" applyBorder="1">
      <alignment/>
      <protection/>
    </xf>
    <xf numFmtId="4" fontId="12" fillId="8" borderId="0" xfId="146" applyNumberFormat="1" applyFont="1" applyFill="1" applyBorder="1" applyAlignment="1" quotePrefix="1">
      <alignment horizontal="left"/>
      <protection/>
    </xf>
    <xf numFmtId="39" fontId="9" fillId="8" borderId="0" xfId="146" applyNumberFormat="1" applyFont="1" applyFill="1" applyBorder="1">
      <alignment/>
      <protection/>
    </xf>
    <xf numFmtId="4" fontId="9" fillId="8" borderId="0" xfId="146" applyNumberFormat="1" applyFont="1" applyFill="1" applyBorder="1">
      <alignment/>
      <protection/>
    </xf>
    <xf numFmtId="4" fontId="12" fillId="8" borderId="0" xfId="146" applyNumberFormat="1" applyFont="1" applyFill="1" applyBorder="1">
      <alignment/>
      <protection/>
    </xf>
    <xf numFmtId="39" fontId="9" fillId="8" borderId="20" xfId="146" applyNumberFormat="1" applyFont="1" applyFill="1" applyBorder="1" applyAlignment="1">
      <alignment horizontal="centerContinuous"/>
      <protection/>
    </xf>
    <xf numFmtId="39" fontId="9" fillId="8" borderId="24" xfId="146" applyNumberFormat="1" applyFont="1" applyFill="1" applyBorder="1" applyAlignment="1">
      <alignment horizontal="centerContinuous"/>
      <protection/>
    </xf>
    <xf numFmtId="4" fontId="9" fillId="8" borderId="22" xfId="146" applyNumberFormat="1" applyFont="1" applyFill="1" applyBorder="1">
      <alignment/>
      <protection/>
    </xf>
    <xf numFmtId="4" fontId="9" fillId="8" borderId="25" xfId="146" applyNumberFormat="1" applyFont="1" applyFill="1" applyBorder="1">
      <alignment/>
      <protection/>
    </xf>
    <xf numFmtId="0" fontId="9" fillId="8" borderId="25" xfId="146" applyFont="1" applyFill="1" applyBorder="1" applyAlignment="1">
      <alignment horizontal="centerContinuous"/>
      <protection/>
    </xf>
    <xf numFmtId="4" fontId="12" fillId="8" borderId="25" xfId="146" applyNumberFormat="1" applyFont="1" applyFill="1" applyBorder="1" applyAlignment="1">
      <alignment horizontal="right"/>
      <protection/>
    </xf>
    <xf numFmtId="4" fontId="12" fillId="8" borderId="26" xfId="146" applyNumberFormat="1" applyFont="1" applyFill="1" applyBorder="1" applyAlignment="1">
      <alignment horizontal="right"/>
      <protection/>
    </xf>
    <xf numFmtId="0" fontId="9" fillId="8" borderId="0" xfId="146" applyFont="1" applyFill="1" applyBorder="1" applyAlignment="1">
      <alignment horizontal="centerContinuous"/>
      <protection/>
    </xf>
    <xf numFmtId="4" fontId="12" fillId="8" borderId="0" xfId="146" applyNumberFormat="1" applyFont="1" applyFill="1" applyBorder="1" applyAlignment="1">
      <alignment horizontal="right"/>
      <protection/>
    </xf>
    <xf numFmtId="0" fontId="12" fillId="8" borderId="0" xfId="146" applyFont="1" applyFill="1" applyBorder="1">
      <alignment/>
      <protection/>
    </xf>
    <xf numFmtId="0" fontId="12" fillId="8" borderId="0" xfId="146" applyFont="1" applyFill="1">
      <alignment/>
      <protection/>
    </xf>
    <xf numFmtId="0" fontId="9" fillId="8" borderId="0" xfId="146" applyFont="1" applyFill="1" applyAlignment="1">
      <alignment horizontal="centerContinuous"/>
      <protection/>
    </xf>
    <xf numFmtId="39" fontId="9" fillId="8" borderId="37" xfId="146" applyNumberFormat="1" applyFont="1" applyFill="1" applyBorder="1" applyAlignment="1">
      <alignment horizontal="centerContinuous"/>
      <protection/>
    </xf>
    <xf numFmtId="4" fontId="12" fillId="8" borderId="0" xfId="146" applyNumberFormat="1" applyFont="1" applyFill="1" applyAlignment="1">
      <alignment horizontal="right"/>
      <protection/>
    </xf>
    <xf numFmtId="0" fontId="9" fillId="8" borderId="20" xfId="146" applyFont="1" applyFill="1" applyBorder="1" applyAlignment="1">
      <alignment horizontal="centerContinuous"/>
      <protection/>
    </xf>
    <xf numFmtId="0" fontId="9" fillId="8" borderId="24" xfId="146" applyFont="1" applyFill="1" applyBorder="1" applyAlignment="1">
      <alignment horizontal="centerContinuous"/>
      <protection/>
    </xf>
    <xf numFmtId="0" fontId="9" fillId="8" borderId="25" xfId="146" applyFont="1" applyFill="1" applyBorder="1">
      <alignment/>
      <protection/>
    </xf>
    <xf numFmtId="4" fontId="9" fillId="8" borderId="20" xfId="66" applyNumberFormat="1" applyFont="1" applyFill="1" applyBorder="1" applyAlignment="1">
      <alignment/>
    </xf>
    <xf numFmtId="4" fontId="9" fillId="8" borderId="24" xfId="66" applyNumberFormat="1" applyFont="1" applyFill="1" applyBorder="1" applyAlignment="1">
      <alignment/>
    </xf>
    <xf numFmtId="0" fontId="17" fillId="8" borderId="28" xfId="146" applyFont="1" applyFill="1" applyBorder="1">
      <alignment/>
      <protection/>
    </xf>
    <xf numFmtId="4" fontId="9" fillId="8" borderId="29" xfId="146" applyNumberFormat="1" applyFont="1" applyFill="1" applyBorder="1">
      <alignment/>
      <protection/>
    </xf>
    <xf numFmtId="39" fontId="9" fillId="8" borderId="29" xfId="146" applyNumberFormat="1" applyFont="1" applyFill="1" applyBorder="1" applyAlignment="1">
      <alignment horizontal="center"/>
      <protection/>
    </xf>
    <xf numFmtId="4" fontId="9" fillId="8" borderId="20" xfId="146" applyNumberFormat="1" applyFont="1" applyFill="1" applyBorder="1" applyAlignment="1">
      <alignment horizontal="right"/>
      <protection/>
    </xf>
    <xf numFmtId="4" fontId="17" fillId="8" borderId="21" xfId="146" applyNumberFormat="1" applyFont="1" applyFill="1" applyBorder="1">
      <alignment/>
      <protection/>
    </xf>
    <xf numFmtId="0" fontId="17" fillId="8" borderId="27" xfId="146" applyFont="1" applyFill="1" applyBorder="1">
      <alignment/>
      <protection/>
    </xf>
    <xf numFmtId="39" fontId="9" fillId="8" borderId="25" xfId="146" applyNumberFormat="1" applyFont="1" applyFill="1" applyBorder="1" applyAlignment="1">
      <alignment horizontal="center"/>
      <protection/>
    </xf>
    <xf numFmtId="4" fontId="9" fillId="8" borderId="30" xfId="146" applyNumberFormat="1" applyFont="1" applyFill="1" applyBorder="1" applyAlignment="1">
      <alignment horizontal="right"/>
      <protection/>
    </xf>
    <xf numFmtId="4" fontId="17" fillId="8" borderId="26" xfId="146" applyNumberFormat="1" applyFont="1" applyFill="1" applyBorder="1">
      <alignment/>
      <protection/>
    </xf>
    <xf numFmtId="0" fontId="12" fillId="8" borderId="31" xfId="146" applyFont="1" applyFill="1" applyBorder="1">
      <alignment/>
      <protection/>
    </xf>
    <xf numFmtId="4" fontId="12" fillId="8" borderId="32" xfId="146" applyNumberFormat="1" applyFont="1" applyFill="1" applyBorder="1">
      <alignment/>
      <protection/>
    </xf>
    <xf numFmtId="39" fontId="9" fillId="8" borderId="32" xfId="146" applyNumberFormat="1" applyFont="1" applyFill="1" applyBorder="1" applyAlignment="1" quotePrefix="1">
      <alignment horizontal="left"/>
      <protection/>
    </xf>
    <xf numFmtId="4" fontId="12" fillId="8" borderId="32" xfId="146" applyNumberFormat="1" applyFont="1" applyFill="1" applyBorder="1" applyAlignment="1">
      <alignment horizontal="right"/>
      <protection/>
    </xf>
    <xf numFmtId="4" fontId="12" fillId="8" borderId="33" xfId="146" applyNumberFormat="1" applyFont="1" applyFill="1" applyBorder="1">
      <alignment/>
      <protection/>
    </xf>
    <xf numFmtId="0" fontId="17" fillId="8" borderId="19" xfId="146" applyFont="1" applyFill="1" applyBorder="1">
      <alignment/>
      <protection/>
    </xf>
    <xf numFmtId="4" fontId="17" fillId="8" borderId="34" xfId="146" applyNumberFormat="1" applyFont="1" applyFill="1" applyBorder="1">
      <alignment/>
      <protection/>
    </xf>
    <xf numFmtId="0" fontId="17" fillId="8" borderId="23" xfId="146" applyFont="1" applyFill="1" applyBorder="1">
      <alignment/>
      <protection/>
    </xf>
    <xf numFmtId="4" fontId="9" fillId="8" borderId="24" xfId="146" applyNumberFormat="1" applyFont="1" applyFill="1" applyBorder="1" applyAlignment="1">
      <alignment horizontal="right"/>
      <protection/>
    </xf>
    <xf numFmtId="4" fontId="17" fillId="8" borderId="22" xfId="146" applyNumberFormat="1" applyFont="1" applyFill="1" applyBorder="1">
      <alignment/>
      <protection/>
    </xf>
    <xf numFmtId="4" fontId="9" fillId="8" borderId="25" xfId="146" applyNumberFormat="1" applyFont="1" applyFill="1" applyBorder="1" applyAlignment="1">
      <alignment horizontal="right"/>
      <protection/>
    </xf>
    <xf numFmtId="4" fontId="12" fillId="8" borderId="0" xfId="146" applyNumberFormat="1" applyFont="1" applyFill="1" applyAlignment="1">
      <alignment horizontal="left"/>
      <protection/>
    </xf>
    <xf numFmtId="39" fontId="9" fillId="8" borderId="25" xfId="146" applyNumberFormat="1" applyFont="1" applyFill="1" applyBorder="1" applyAlignment="1">
      <alignment horizontal="centerContinuous"/>
      <protection/>
    </xf>
    <xf numFmtId="0" fontId="12" fillId="8" borderId="19" xfId="146" applyFont="1" applyFill="1" applyBorder="1">
      <alignment/>
      <protection/>
    </xf>
    <xf numFmtId="4" fontId="12" fillId="8" borderId="20" xfId="146" applyNumberFormat="1" applyFont="1" applyFill="1" applyBorder="1">
      <alignment/>
      <protection/>
    </xf>
    <xf numFmtId="39" fontId="9" fillId="8" borderId="20" xfId="146" applyNumberFormat="1" applyFont="1" applyFill="1" applyBorder="1" applyAlignment="1" quotePrefix="1">
      <alignment horizontal="left"/>
      <protection/>
    </xf>
    <xf numFmtId="4" fontId="12" fillId="8" borderId="20" xfId="146" applyNumberFormat="1" applyFont="1" applyFill="1" applyBorder="1" applyAlignment="1" quotePrefix="1">
      <alignment horizontal="right"/>
      <protection/>
    </xf>
    <xf numFmtId="4" fontId="12" fillId="8" borderId="21" xfId="146" applyNumberFormat="1" applyFont="1" applyFill="1" applyBorder="1">
      <alignment/>
      <protection/>
    </xf>
    <xf numFmtId="4" fontId="9" fillId="8" borderId="25" xfId="146" applyNumberFormat="1" applyFont="1" applyFill="1" applyBorder="1" applyAlignment="1" quotePrefix="1">
      <alignment horizontal="right"/>
      <protection/>
    </xf>
    <xf numFmtId="0" fontId="17" fillId="8" borderId="0" xfId="146" applyFont="1" applyFill="1" applyBorder="1">
      <alignment/>
      <protection/>
    </xf>
    <xf numFmtId="39" fontId="9" fillId="8" borderId="0" xfId="146" applyNumberFormat="1" applyFont="1" applyFill="1" applyBorder="1" applyAlignment="1">
      <alignment horizontal="centerContinuous"/>
      <protection/>
    </xf>
    <xf numFmtId="190" fontId="9" fillId="8" borderId="20" xfId="146" applyNumberFormat="1" applyFont="1" applyFill="1" applyBorder="1">
      <alignment/>
      <protection/>
    </xf>
    <xf numFmtId="0" fontId="5" fillId="8" borderId="0" xfId="0" applyFont="1" applyFill="1" applyBorder="1" applyAlignment="1" applyProtection="1" quotePrefix="1">
      <alignment horizontal="left" vertical="center"/>
      <protection/>
    </xf>
    <xf numFmtId="0" fontId="18" fillId="8" borderId="0" xfId="0" applyFont="1" applyFill="1" applyBorder="1" applyAlignment="1">
      <alignment horizontal="right" vertical="center"/>
    </xf>
    <xf numFmtId="0" fontId="18" fillId="8" borderId="0" xfId="0" applyFont="1" applyFill="1" applyBorder="1" applyAlignment="1">
      <alignment horizontal="center" vertical="center"/>
    </xf>
    <xf numFmtId="0" fontId="0" fillId="8" borderId="19" xfId="0" applyFont="1" applyFill="1" applyBorder="1" applyAlignment="1" applyProtection="1">
      <alignment horizontal="left" vertical="center"/>
      <protection/>
    </xf>
    <xf numFmtId="197" fontId="0" fillId="8" borderId="20" xfId="0" applyNumberFormat="1" applyFont="1" applyFill="1" applyBorder="1" applyAlignment="1" applyProtection="1">
      <alignment horizontal="right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/>
    </xf>
    <xf numFmtId="4" fontId="0" fillId="8" borderId="20" xfId="0" applyNumberFormat="1" applyFont="1" applyFill="1" applyBorder="1" applyAlignment="1" applyProtection="1">
      <alignment horizontal="right" vertical="center"/>
      <protection/>
    </xf>
    <xf numFmtId="0" fontId="0" fillId="8" borderId="23" xfId="0" applyFont="1" applyFill="1" applyBorder="1" applyAlignment="1" applyProtection="1">
      <alignment horizontal="left" vertical="center"/>
      <protection/>
    </xf>
    <xf numFmtId="194" fontId="0" fillId="8" borderId="24" xfId="0" applyNumberFormat="1" applyFont="1" applyFill="1" applyBorder="1" applyAlignment="1" applyProtection="1">
      <alignment horizontal="right" vertical="center"/>
      <protection locked="0"/>
    </xf>
    <xf numFmtId="0" fontId="0" fillId="8" borderId="24" xfId="0" applyFont="1" applyFill="1" applyBorder="1" applyAlignment="1" applyProtection="1">
      <alignment horizontal="center" vertical="center"/>
      <protection/>
    </xf>
    <xf numFmtId="4" fontId="0" fillId="8" borderId="24" xfId="0" applyNumberFormat="1" applyFont="1" applyFill="1" applyBorder="1" applyAlignment="1" applyProtection="1">
      <alignment horizontal="right" vertical="center"/>
      <protection/>
    </xf>
    <xf numFmtId="2" fontId="0" fillId="8" borderId="24" xfId="0" applyNumberFormat="1" applyFont="1" applyFill="1" applyBorder="1" applyAlignment="1" applyProtection="1">
      <alignment horizontal="right" vertical="center"/>
      <protection/>
    </xf>
    <xf numFmtId="0" fontId="0" fillId="8" borderId="27" xfId="0" applyFont="1" applyFill="1" applyBorder="1" applyAlignment="1">
      <alignment vertical="center"/>
    </xf>
    <xf numFmtId="0" fontId="0" fillId="8" borderId="25" xfId="0" applyFont="1" applyFill="1" applyBorder="1" applyAlignment="1">
      <alignment horizontal="right" vertical="center"/>
    </xf>
    <xf numFmtId="0" fontId="0" fillId="8" borderId="25" xfId="0" applyFont="1" applyFill="1" applyBorder="1" applyAlignment="1">
      <alignment horizontal="center" vertical="center"/>
    </xf>
    <xf numFmtId="4" fontId="5" fillId="8" borderId="25" xfId="0" applyNumberFormat="1" applyFont="1" applyFill="1" applyBorder="1" applyAlignment="1" applyProtection="1" quotePrefix="1">
      <alignment horizontal="right" vertical="center"/>
      <protection/>
    </xf>
    <xf numFmtId="4" fontId="5" fillId="8" borderId="26" xfId="0" applyNumberFormat="1" applyFont="1" applyFill="1" applyBorder="1" applyAlignment="1" applyProtection="1">
      <alignment horizontal="right" vertical="center"/>
      <protection locked="0"/>
    </xf>
    <xf numFmtId="0" fontId="5" fillId="8" borderId="0" xfId="0" applyFont="1" applyFill="1" applyAlignment="1" quotePrefix="1">
      <alignment horizontal="left"/>
    </xf>
    <xf numFmtId="0" fontId="0" fillId="8" borderId="19" xfId="0" applyFont="1" applyFill="1" applyBorder="1" applyAlignment="1" quotePrefix="1">
      <alignment horizontal="left" vertical="top" wrapText="1"/>
    </xf>
    <xf numFmtId="198" fontId="0" fillId="8" borderId="20" xfId="0" applyNumberFormat="1" applyFont="1" applyFill="1" applyBorder="1" applyAlignment="1">
      <alignment/>
    </xf>
    <xf numFmtId="0" fontId="0" fillId="8" borderId="20" xfId="0" applyFont="1" applyFill="1" applyBorder="1" applyAlignment="1">
      <alignment horizontal="center"/>
    </xf>
    <xf numFmtId="4" fontId="0" fillId="8" borderId="20" xfId="0" applyNumberFormat="1" applyFont="1" applyFill="1" applyBorder="1" applyAlignment="1">
      <alignment/>
    </xf>
    <xf numFmtId="0" fontId="0" fillId="8" borderId="23" xfId="0" applyFont="1" applyFill="1" applyBorder="1" applyAlignment="1">
      <alignment vertical="top" wrapText="1"/>
    </xf>
    <xf numFmtId="2" fontId="0" fillId="8" borderId="24" xfId="0" applyNumberFormat="1" applyFont="1" applyFill="1" applyBorder="1" applyAlignment="1">
      <alignment/>
    </xf>
    <xf numFmtId="0" fontId="0" fillId="8" borderId="24" xfId="0" applyFont="1" applyFill="1" applyBorder="1" applyAlignment="1">
      <alignment horizontal="center"/>
    </xf>
    <xf numFmtId="0" fontId="0" fillId="8" borderId="27" xfId="0" applyFont="1" applyFill="1" applyBorder="1" applyAlignment="1">
      <alignment/>
    </xf>
    <xf numFmtId="0" fontId="0" fillId="8" borderId="25" xfId="0" applyFont="1" applyFill="1" applyBorder="1" applyAlignment="1">
      <alignment/>
    </xf>
    <xf numFmtId="0" fontId="0" fillId="8" borderId="25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right"/>
    </xf>
    <xf numFmtId="44" fontId="5" fillId="8" borderId="26" xfId="0" applyNumberFormat="1" applyFont="1" applyFill="1" applyBorder="1" applyAlignment="1">
      <alignment horizontal="centerContinuous"/>
    </xf>
    <xf numFmtId="0" fontId="5" fillId="8" borderId="0" xfId="0" applyFont="1" applyFill="1" applyBorder="1" applyAlignment="1" applyProtection="1">
      <alignment horizontal="left" vertical="center"/>
      <protection/>
    </xf>
    <xf numFmtId="0" fontId="17" fillId="8" borderId="0" xfId="0" applyFont="1" applyFill="1" applyBorder="1" applyAlignment="1">
      <alignment horizontal="right" vertical="center"/>
    </xf>
    <xf numFmtId="39" fontId="17" fillId="8" borderId="0" xfId="0" applyNumberFormat="1" applyFont="1" applyFill="1" applyBorder="1" applyAlignment="1">
      <alignment vertical="center"/>
    </xf>
    <xf numFmtId="4" fontId="0" fillId="8" borderId="20" xfId="0" applyNumberFormat="1" applyFont="1" applyFill="1" applyBorder="1" applyAlignment="1" applyProtection="1">
      <alignment horizontal="right" vertical="center"/>
      <protection locked="0"/>
    </xf>
    <xf numFmtId="4" fontId="0" fillId="8" borderId="24" xfId="0" applyNumberFormat="1" applyFont="1" applyFill="1" applyBorder="1" applyAlignment="1" applyProtection="1">
      <alignment horizontal="right" vertical="center"/>
      <protection locked="0"/>
    </xf>
    <xf numFmtId="0" fontId="5" fillId="8" borderId="0" xfId="0" applyFont="1" applyFill="1" applyAlignment="1">
      <alignment horizontal="left"/>
    </xf>
    <xf numFmtId="199" fontId="0" fillId="8" borderId="0" xfId="113" applyNumberFormat="1" applyFont="1" applyFill="1" applyBorder="1" applyAlignment="1">
      <alignment/>
    </xf>
    <xf numFmtId="43" fontId="0" fillId="8" borderId="0" xfId="113" applyFont="1" applyFill="1" applyBorder="1" applyAlignment="1">
      <alignment horizontal="centerContinuous"/>
    </xf>
    <xf numFmtId="43" fontId="5" fillId="8" borderId="0" xfId="113" applyFont="1" applyFill="1" applyBorder="1" applyAlignment="1">
      <alignment horizontal="right"/>
    </xf>
    <xf numFmtId="0" fontId="0" fillId="8" borderId="19" xfId="0" applyFont="1" applyFill="1" applyBorder="1" applyAlignment="1">
      <alignment horizontal="left"/>
    </xf>
    <xf numFmtId="2" fontId="0" fillId="8" borderId="20" xfId="113" applyNumberFormat="1" applyFont="1" applyFill="1" applyBorder="1" applyAlignment="1">
      <alignment/>
    </xf>
    <xf numFmtId="43" fontId="0" fillId="8" borderId="20" xfId="113" applyFont="1" applyFill="1" applyBorder="1" applyAlignment="1">
      <alignment horizontal="centerContinuous"/>
    </xf>
    <xf numFmtId="43" fontId="0" fillId="8" borderId="20" xfId="113" applyFont="1" applyFill="1" applyBorder="1" applyAlignment="1">
      <alignment horizontal="right"/>
    </xf>
    <xf numFmtId="0" fontId="0" fillId="8" borderId="23" xfId="0" applyFont="1" applyFill="1" applyBorder="1" applyAlignment="1">
      <alignment horizontal="left"/>
    </xf>
    <xf numFmtId="4" fontId="0" fillId="8" borderId="24" xfId="113" applyNumberFormat="1" applyFont="1" applyFill="1" applyBorder="1" applyAlignment="1">
      <alignment/>
    </xf>
    <xf numFmtId="43" fontId="0" fillId="8" borderId="24" xfId="113" applyFont="1" applyFill="1" applyBorder="1" applyAlignment="1">
      <alignment horizontal="centerContinuous"/>
    </xf>
    <xf numFmtId="43" fontId="0" fillId="8" borderId="24" xfId="113" applyFont="1" applyFill="1" applyBorder="1" applyAlignment="1">
      <alignment horizontal="right"/>
    </xf>
    <xf numFmtId="0" fontId="0" fillId="8" borderId="35" xfId="0" applyFont="1" applyFill="1" applyBorder="1" applyAlignment="1">
      <alignment horizontal="left"/>
    </xf>
    <xf numFmtId="199" fontId="0" fillId="8" borderId="36" xfId="113" applyNumberFormat="1" applyFont="1" applyFill="1" applyBorder="1" applyAlignment="1">
      <alignment/>
    </xf>
    <xf numFmtId="43" fontId="5" fillId="8" borderId="54" xfId="113" applyFont="1" applyFill="1" applyBorder="1" applyAlignment="1">
      <alignment horizontal="right"/>
    </xf>
    <xf numFmtId="0" fontId="0" fillId="8" borderId="27" xfId="0" applyFont="1" applyFill="1" applyBorder="1" applyAlignment="1">
      <alignment horizontal="left"/>
    </xf>
    <xf numFmtId="199" fontId="0" fillId="8" borderId="25" xfId="113" applyNumberFormat="1" applyFont="1" applyFill="1" applyBorder="1" applyAlignment="1">
      <alignment/>
    </xf>
    <xf numFmtId="43" fontId="5" fillId="8" borderId="26" xfId="113" applyFont="1" applyFill="1" applyBorder="1" applyAlignment="1">
      <alignment horizontal="right"/>
    </xf>
    <xf numFmtId="0" fontId="9" fillId="8" borderId="23" xfId="146" applyFont="1" applyFill="1" applyBorder="1" applyAlignment="1" quotePrefix="1">
      <alignment horizontal="left"/>
      <protection/>
    </xf>
    <xf numFmtId="0" fontId="20" fillId="8" borderId="0" xfId="146" applyFont="1" applyFill="1" applyAlignment="1">
      <alignment horizontal="centerContinuous"/>
      <protection/>
    </xf>
    <xf numFmtId="4" fontId="20" fillId="8" borderId="0" xfId="146" applyNumberFormat="1" applyFont="1" applyFill="1" applyAlignment="1">
      <alignment horizontal="centerContinuous"/>
      <protection/>
    </xf>
    <xf numFmtId="0" fontId="9" fillId="8" borderId="24" xfId="146" applyFont="1" applyFill="1" applyBorder="1" applyAlignment="1" quotePrefix="1">
      <alignment horizontal="centerContinuous"/>
      <protection/>
    </xf>
    <xf numFmtId="0" fontId="9" fillId="8" borderId="24" xfId="146" applyFont="1" applyFill="1" applyBorder="1">
      <alignment/>
      <protection/>
    </xf>
    <xf numFmtId="0" fontId="0" fillId="8" borderId="0" xfId="146" applyFont="1" applyFill="1">
      <alignment/>
      <protection/>
    </xf>
    <xf numFmtId="0" fontId="5" fillId="8" borderId="0" xfId="146" applyFont="1" applyFill="1" applyAlignment="1">
      <alignment horizontal="right"/>
      <protection/>
    </xf>
    <xf numFmtId="39" fontId="5" fillId="8" borderId="0" xfId="146" applyNumberFormat="1" applyFont="1" applyFill="1" applyAlignment="1">
      <alignment horizontal="right"/>
      <protection/>
    </xf>
    <xf numFmtId="0" fontId="5" fillId="8" borderId="0" xfId="146" applyFont="1" applyFill="1">
      <alignment/>
      <protection/>
    </xf>
    <xf numFmtId="0" fontId="0" fillId="8" borderId="19" xfId="146" applyFont="1" applyFill="1" applyBorder="1">
      <alignment/>
      <protection/>
    </xf>
    <xf numFmtId="2" fontId="0" fillId="8" borderId="20" xfId="146" applyNumberFormat="1" applyFont="1" applyFill="1" applyBorder="1">
      <alignment/>
      <protection/>
    </xf>
    <xf numFmtId="0" fontId="0" fillId="8" borderId="20" xfId="146" applyFont="1" applyFill="1" applyBorder="1" applyAlignment="1">
      <alignment horizontal="centerContinuous"/>
      <protection/>
    </xf>
    <xf numFmtId="0" fontId="0" fillId="8" borderId="23" xfId="146" applyFont="1" applyFill="1" applyBorder="1">
      <alignment/>
      <protection/>
    </xf>
    <xf numFmtId="2" fontId="0" fillId="8" borderId="24" xfId="146" applyNumberFormat="1" applyFont="1" applyFill="1" applyBorder="1">
      <alignment/>
      <protection/>
    </xf>
    <xf numFmtId="0" fontId="0" fillId="8" borderId="24" xfId="146" applyFont="1" applyFill="1" applyBorder="1" applyAlignment="1">
      <alignment horizontal="centerContinuous"/>
      <protection/>
    </xf>
    <xf numFmtId="0" fontId="0" fillId="8" borderId="23" xfId="146" applyFont="1" applyFill="1" applyBorder="1" applyAlignment="1" quotePrefix="1">
      <alignment horizontal="left"/>
      <protection/>
    </xf>
    <xf numFmtId="0" fontId="0" fillId="8" borderId="24" xfId="146" applyFont="1" applyFill="1" applyBorder="1">
      <alignment/>
      <protection/>
    </xf>
    <xf numFmtId="194" fontId="0" fillId="8" borderId="24" xfId="146" applyNumberFormat="1" applyFont="1" applyFill="1" applyBorder="1">
      <alignment/>
      <protection/>
    </xf>
    <xf numFmtId="0" fontId="0" fillId="8" borderId="27" xfId="146" applyFont="1" applyFill="1" applyBorder="1">
      <alignment/>
      <protection/>
    </xf>
    <xf numFmtId="0" fontId="0" fillId="8" borderId="25" xfId="146" applyFont="1" applyFill="1" applyBorder="1">
      <alignment/>
      <protection/>
    </xf>
    <xf numFmtId="2" fontId="5" fillId="8" borderId="26" xfId="146" applyNumberFormat="1" applyFont="1" applyFill="1" applyBorder="1" applyAlignment="1">
      <alignment horizontal="right"/>
      <protection/>
    </xf>
    <xf numFmtId="39" fontId="5" fillId="8" borderId="0" xfId="146" applyNumberFormat="1" applyFont="1" applyFill="1" applyAlignment="1">
      <alignment/>
      <protection/>
    </xf>
    <xf numFmtId="0" fontId="5" fillId="8" borderId="0" xfId="146" applyFont="1" applyFill="1" applyBorder="1" applyAlignment="1">
      <alignment horizontal="right"/>
      <protection/>
    </xf>
    <xf numFmtId="2" fontId="5" fillId="8" borderId="0" xfId="146" applyNumberFormat="1" applyFont="1" applyFill="1" applyBorder="1" applyAlignment="1">
      <alignment/>
      <protection/>
    </xf>
    <xf numFmtId="194" fontId="0" fillId="8" borderId="0" xfId="146" applyNumberFormat="1" applyFont="1" applyFill="1">
      <alignment/>
      <protection/>
    </xf>
    <xf numFmtId="194" fontId="0" fillId="8" borderId="25" xfId="146" applyNumberFormat="1" applyFont="1" applyFill="1" applyBorder="1">
      <alignment/>
      <protection/>
    </xf>
    <xf numFmtId="0" fontId="5" fillId="8" borderId="25" xfId="146" applyFont="1" applyFill="1" applyBorder="1" applyAlignment="1">
      <alignment horizontal="right"/>
      <protection/>
    </xf>
    <xf numFmtId="0" fontId="0" fillId="8" borderId="0" xfId="146" applyFont="1" applyFill="1" applyBorder="1">
      <alignment/>
      <protection/>
    </xf>
    <xf numFmtId="194" fontId="0" fillId="8" borderId="0" xfId="146" applyNumberFormat="1" applyFont="1" applyFill="1" applyBorder="1">
      <alignment/>
      <protection/>
    </xf>
    <xf numFmtId="39" fontId="5" fillId="8" borderId="0" xfId="146" applyNumberFormat="1" applyFont="1" applyFill="1" applyBorder="1" applyAlignment="1">
      <alignment horizontal="right"/>
      <protection/>
    </xf>
    <xf numFmtId="0" fontId="5" fillId="8" borderId="0" xfId="153" applyFont="1" applyFill="1" applyBorder="1">
      <alignment/>
      <protection/>
    </xf>
    <xf numFmtId="39" fontId="32" fillId="8" borderId="0" xfId="153" applyNumberFormat="1" applyFont="1" applyFill="1" applyBorder="1">
      <alignment/>
      <protection/>
    </xf>
    <xf numFmtId="39" fontId="32" fillId="8" borderId="0" xfId="153" applyNumberFormat="1" applyFont="1" applyFill="1" applyBorder="1" applyAlignment="1">
      <alignment horizontal="centerContinuous"/>
      <protection/>
    </xf>
    <xf numFmtId="39" fontId="31" fillId="8" borderId="0" xfId="153" applyNumberFormat="1" applyFont="1" applyFill="1" applyBorder="1" applyAlignment="1">
      <alignment horizontal="right"/>
      <protection/>
    </xf>
    <xf numFmtId="2" fontId="31" fillId="8" borderId="0" xfId="153" applyNumberFormat="1" applyFont="1" applyFill="1" applyBorder="1" applyAlignment="1">
      <alignment horizontal="right"/>
      <protection/>
    </xf>
    <xf numFmtId="0" fontId="0" fillId="8" borderId="19" xfId="153" applyFont="1" applyFill="1" applyBorder="1">
      <alignment/>
      <protection/>
    </xf>
    <xf numFmtId="39" fontId="0" fillId="8" borderId="20" xfId="153" applyNumberFormat="1" applyFont="1" applyFill="1" applyBorder="1">
      <alignment/>
      <protection/>
    </xf>
    <xf numFmtId="39" fontId="0" fillId="8" borderId="20" xfId="153" applyNumberFormat="1" applyFont="1" applyFill="1" applyBorder="1" applyAlignment="1">
      <alignment horizontal="centerContinuous"/>
      <protection/>
    </xf>
    <xf numFmtId="39" fontId="0" fillId="8" borderId="20" xfId="153" applyNumberFormat="1" applyFont="1" applyFill="1" applyBorder="1" applyAlignment="1">
      <alignment vertical="top" wrapText="1"/>
      <protection/>
    </xf>
    <xf numFmtId="0" fontId="0" fillId="8" borderId="23" xfId="153" applyFont="1" applyFill="1" applyBorder="1">
      <alignment/>
      <protection/>
    </xf>
    <xf numFmtId="39" fontId="0" fillId="8" borderId="24" xfId="153" applyNumberFormat="1" applyFont="1" applyFill="1" applyBorder="1">
      <alignment/>
      <protection/>
    </xf>
    <xf numFmtId="39" fontId="0" fillId="8" borderId="24" xfId="153" applyNumberFormat="1" applyFont="1" applyFill="1" applyBorder="1" applyAlignment="1">
      <alignment horizontal="centerContinuous"/>
      <protection/>
    </xf>
    <xf numFmtId="39" fontId="0" fillId="8" borderId="24" xfId="153" applyNumberFormat="1" applyFont="1" applyFill="1" applyBorder="1" applyAlignment="1">
      <alignment vertical="top" wrapText="1"/>
      <protection/>
    </xf>
    <xf numFmtId="0" fontId="0" fillId="8" borderId="35" xfId="153" applyFont="1" applyFill="1" applyBorder="1">
      <alignment/>
      <protection/>
    </xf>
    <xf numFmtId="39" fontId="0" fillId="8" borderId="36" xfId="153" applyNumberFormat="1" applyFont="1" applyFill="1" applyBorder="1">
      <alignment/>
      <protection/>
    </xf>
    <xf numFmtId="39" fontId="0" fillId="8" borderId="36" xfId="153" applyNumberFormat="1" applyFont="1" applyFill="1" applyBorder="1" applyAlignment="1">
      <alignment horizontal="centerContinuous"/>
      <protection/>
    </xf>
    <xf numFmtId="39" fontId="0" fillId="8" borderId="36" xfId="153" applyNumberFormat="1" applyFont="1" applyFill="1" applyBorder="1" applyAlignment="1">
      <alignment vertical="top" wrapText="1"/>
      <protection/>
    </xf>
    <xf numFmtId="0" fontId="0" fillId="8" borderId="27" xfId="153" applyFont="1" applyFill="1" applyBorder="1">
      <alignment/>
      <protection/>
    </xf>
    <xf numFmtId="39" fontId="0" fillId="8" borderId="25" xfId="153" applyNumberFormat="1" applyFont="1" applyFill="1" applyBorder="1">
      <alignment/>
      <protection/>
    </xf>
    <xf numFmtId="39" fontId="0" fillId="8" borderId="25" xfId="153" applyNumberFormat="1" applyFont="1" applyFill="1" applyBorder="1" applyAlignment="1">
      <alignment horizontal="centerContinuous"/>
      <protection/>
    </xf>
    <xf numFmtId="39" fontId="5" fillId="8" borderId="25" xfId="153" applyNumberFormat="1" applyFont="1" applyFill="1" applyBorder="1" applyAlignment="1">
      <alignment horizontal="right"/>
      <protection/>
    </xf>
    <xf numFmtId="4" fontId="5" fillId="8" borderId="26" xfId="153" applyNumberFormat="1" applyFont="1" applyFill="1" applyBorder="1" applyAlignment="1">
      <alignment horizontal="right"/>
      <protection/>
    </xf>
    <xf numFmtId="4" fontId="5" fillId="8" borderId="26" xfId="146" applyNumberFormat="1" applyFont="1" applyFill="1" applyBorder="1" applyAlignment="1">
      <alignment horizontal="right"/>
      <protection/>
    </xf>
    <xf numFmtId="193" fontId="5" fillId="8" borderId="0" xfId="65" applyFont="1" applyFill="1" applyBorder="1" applyAlignment="1">
      <alignment/>
    </xf>
    <xf numFmtId="2" fontId="5" fillId="8" borderId="0" xfId="146" applyNumberFormat="1" applyFont="1" applyFill="1" applyBorder="1" applyAlignment="1">
      <alignment horizontal="right"/>
      <protection/>
    </xf>
    <xf numFmtId="0" fontId="0" fillId="8" borderId="0" xfId="146" applyFont="1" applyFill="1" applyBorder="1" applyAlignment="1">
      <alignment horizontal="centerContinuous"/>
      <protection/>
    </xf>
    <xf numFmtId="39" fontId="0" fillId="8" borderId="0" xfId="146" applyNumberFormat="1" applyFont="1" applyFill="1" applyBorder="1">
      <alignment/>
      <protection/>
    </xf>
    <xf numFmtId="2" fontId="0" fillId="8" borderId="0" xfId="146" applyNumberFormat="1" applyFont="1" applyFill="1" applyBorder="1">
      <alignment/>
      <protection/>
    </xf>
    <xf numFmtId="0" fontId="5" fillId="8" borderId="0" xfId="146" applyFont="1" applyFill="1" applyBorder="1">
      <alignment/>
      <protection/>
    </xf>
    <xf numFmtId="0" fontId="0" fillId="8" borderId="18" xfId="146" applyFont="1" applyFill="1" applyBorder="1">
      <alignment/>
      <protection/>
    </xf>
    <xf numFmtId="0" fontId="0" fillId="8" borderId="55" xfId="146" applyFont="1" applyFill="1" applyBorder="1" applyAlignment="1">
      <alignment horizontal="centerContinuous"/>
      <protection/>
    </xf>
    <xf numFmtId="39" fontId="0" fillId="8" borderId="66" xfId="146" applyNumberFormat="1" applyFont="1" applyFill="1" applyBorder="1">
      <alignment/>
      <protection/>
    </xf>
    <xf numFmtId="0" fontId="0" fillId="8" borderId="62" xfId="146" applyFont="1" applyFill="1" applyBorder="1">
      <alignment/>
      <protection/>
    </xf>
    <xf numFmtId="0" fontId="0" fillId="8" borderId="37" xfId="146" applyFont="1" applyFill="1" applyBorder="1">
      <alignment/>
      <protection/>
    </xf>
    <xf numFmtId="39" fontId="0" fillId="8" borderId="24" xfId="146" applyNumberFormat="1" applyFont="1" applyFill="1" applyBorder="1">
      <alignment/>
      <protection/>
    </xf>
    <xf numFmtId="0" fontId="0" fillId="8" borderId="37" xfId="146" applyFont="1" applyFill="1" applyBorder="1" applyAlignment="1">
      <alignment horizontal="centerContinuous"/>
      <protection/>
    </xf>
    <xf numFmtId="0" fontId="0" fillId="8" borderId="24" xfId="146" applyFont="1" applyFill="1" applyBorder="1" applyAlignment="1">
      <alignment horizontal="center"/>
      <protection/>
    </xf>
    <xf numFmtId="0" fontId="5" fillId="8" borderId="39" xfId="146" applyFont="1" applyFill="1" applyBorder="1" applyAlignment="1">
      <alignment/>
      <protection/>
    </xf>
    <xf numFmtId="0" fontId="0" fillId="8" borderId="40" xfId="146" applyFont="1" applyFill="1" applyBorder="1">
      <alignment/>
      <protection/>
    </xf>
    <xf numFmtId="0" fontId="0" fillId="8" borderId="40" xfId="146" applyFont="1" applyFill="1" applyBorder="1" applyAlignment="1">
      <alignment horizontal="center"/>
      <protection/>
    </xf>
    <xf numFmtId="0" fontId="0" fillId="8" borderId="41" xfId="146" applyFont="1" applyFill="1" applyBorder="1" applyAlignment="1">
      <alignment horizontal="right"/>
      <protection/>
    </xf>
    <xf numFmtId="2" fontId="17" fillId="8" borderId="60" xfId="146" applyNumberFormat="1" applyFont="1" applyFill="1" applyBorder="1">
      <alignment/>
      <protection/>
    </xf>
    <xf numFmtId="0" fontId="5" fillId="8" borderId="40" xfId="146" applyFont="1" applyFill="1" applyBorder="1" applyAlignment="1">
      <alignment horizontal="right"/>
      <protection/>
    </xf>
    <xf numFmtId="2" fontId="5" fillId="8" borderId="41" xfId="146" applyNumberFormat="1" applyFont="1" applyFill="1" applyBorder="1" applyAlignment="1">
      <alignment horizontal="right"/>
      <protection/>
    </xf>
    <xf numFmtId="0" fontId="5" fillId="35" borderId="0" xfId="147" applyFont="1" applyFill="1" applyBorder="1">
      <alignment/>
      <protection/>
    </xf>
    <xf numFmtId="39" fontId="0" fillId="35" borderId="0" xfId="147" applyNumberFormat="1" applyFont="1" applyFill="1" applyBorder="1">
      <alignment/>
      <protection/>
    </xf>
    <xf numFmtId="39" fontId="0" fillId="35" borderId="0" xfId="147" applyNumberFormat="1" applyFont="1" applyFill="1" applyBorder="1" applyAlignment="1">
      <alignment horizontal="centerContinuous"/>
      <protection/>
    </xf>
    <xf numFmtId="39" fontId="5" fillId="35" borderId="0" xfId="147" applyNumberFormat="1" applyFont="1" applyFill="1" applyBorder="1" applyAlignment="1">
      <alignment horizontal="right"/>
      <protection/>
    </xf>
    <xf numFmtId="2" fontId="5" fillId="35" borderId="0" xfId="147" applyNumberFormat="1" applyFont="1" applyFill="1" applyBorder="1" applyAlignment="1">
      <alignment horizontal="right"/>
      <protection/>
    </xf>
    <xf numFmtId="0" fontId="0" fillId="35" borderId="24" xfId="0" applyFont="1" applyFill="1" applyBorder="1" applyAlignment="1">
      <alignment/>
    </xf>
    <xf numFmtId="4" fontId="0" fillId="35" borderId="24" xfId="112" applyNumberFormat="1" applyFont="1" applyFill="1" applyBorder="1" applyAlignment="1">
      <alignment horizontal="right"/>
    </xf>
    <xf numFmtId="4" fontId="0" fillId="35" borderId="24" xfId="147" applyNumberFormat="1" applyFont="1" applyFill="1" applyBorder="1">
      <alignment/>
      <protection/>
    </xf>
    <xf numFmtId="0" fontId="0" fillId="35" borderId="24" xfId="147" applyFont="1" applyFill="1" applyBorder="1">
      <alignment/>
      <protection/>
    </xf>
    <xf numFmtId="0" fontId="0" fillId="35" borderId="24" xfId="147" applyFont="1" applyFill="1" applyBorder="1" applyAlignment="1">
      <alignment horizontal="center"/>
      <protection/>
    </xf>
    <xf numFmtId="0" fontId="5" fillId="35" borderId="24" xfId="0" applyFont="1" applyFill="1" applyBorder="1" applyAlignment="1">
      <alignment horizontal="right"/>
    </xf>
    <xf numFmtId="2" fontId="5" fillId="35" borderId="24" xfId="147" applyNumberFormat="1" applyFont="1" applyFill="1" applyBorder="1">
      <alignment/>
      <protection/>
    </xf>
    <xf numFmtId="0" fontId="49" fillId="35" borderId="0" xfId="0" applyFont="1" applyFill="1" applyBorder="1" applyAlignment="1">
      <alignment horizontal="left"/>
    </xf>
    <xf numFmtId="43" fontId="0" fillId="35" borderId="0" xfId="117" applyFont="1" applyFill="1" applyBorder="1" applyAlignment="1">
      <alignment/>
    </xf>
    <xf numFmtId="43" fontId="5" fillId="35" borderId="0" xfId="117" applyFont="1" applyFill="1" applyBorder="1" applyAlignment="1">
      <alignment horizontal="right"/>
    </xf>
    <xf numFmtId="0" fontId="5" fillId="35" borderId="0" xfId="0" applyFont="1" applyFill="1" applyBorder="1" applyAlignment="1">
      <alignment horizontal="left"/>
    </xf>
    <xf numFmtId="43" fontId="0" fillId="35" borderId="20" xfId="117" applyFont="1" applyFill="1" applyBorder="1" applyAlignment="1">
      <alignment/>
    </xf>
    <xf numFmtId="43" fontId="0" fillId="35" borderId="55" xfId="117" applyFont="1" applyFill="1" applyBorder="1" applyAlignment="1">
      <alignment horizontal="centerContinuous"/>
    </xf>
    <xf numFmtId="43" fontId="0" fillId="35" borderId="22" xfId="117" applyFont="1" applyFill="1" applyBorder="1" applyAlignment="1">
      <alignment/>
    </xf>
    <xf numFmtId="0" fontId="0" fillId="35" borderId="62" xfId="0" applyFont="1" applyFill="1" applyBorder="1" applyAlignment="1">
      <alignment horizontal="left"/>
    </xf>
    <xf numFmtId="43" fontId="0" fillId="35" borderId="37" xfId="117" applyFont="1" applyFill="1" applyBorder="1" applyAlignment="1">
      <alignment/>
    </xf>
    <xf numFmtId="43" fontId="0" fillId="35" borderId="44" xfId="117" applyFont="1" applyFill="1" applyBorder="1" applyAlignment="1">
      <alignment horizontal="centerContinuous"/>
    </xf>
    <xf numFmtId="43" fontId="0" fillId="35" borderId="56" xfId="117" applyFont="1" applyFill="1" applyBorder="1" applyAlignment="1">
      <alignment/>
    </xf>
    <xf numFmtId="43" fontId="0" fillId="35" borderId="24" xfId="117" applyFont="1" applyFill="1" applyBorder="1" applyAlignment="1">
      <alignment/>
    </xf>
    <xf numFmtId="43" fontId="0" fillId="35" borderId="37" xfId="117" applyFont="1" applyFill="1" applyBorder="1" applyAlignment="1">
      <alignment horizontal="centerContinuous"/>
    </xf>
    <xf numFmtId="43" fontId="0" fillId="35" borderId="24" xfId="117" applyFont="1" applyFill="1" applyBorder="1" applyAlignment="1">
      <alignment horizontal="centerContinuous"/>
    </xf>
    <xf numFmtId="0" fontId="5" fillId="35" borderId="35" xfId="0" applyFont="1" applyFill="1" applyBorder="1" applyAlignment="1">
      <alignment horizontal="left"/>
    </xf>
    <xf numFmtId="43" fontId="0" fillId="35" borderId="24" xfId="117" applyFont="1" applyFill="1" applyBorder="1" applyAlignment="1">
      <alignment horizontal="center"/>
    </xf>
    <xf numFmtId="43" fontId="0" fillId="35" borderId="36" xfId="117" applyFont="1" applyFill="1" applyBorder="1" applyAlignment="1">
      <alignment/>
    </xf>
    <xf numFmtId="43" fontId="0" fillId="35" borderId="36" xfId="117" applyFont="1" applyFill="1" applyBorder="1" applyAlignment="1">
      <alignment horizontal="center"/>
    </xf>
    <xf numFmtId="43" fontId="0" fillId="35" borderId="54" xfId="117" applyFont="1" applyFill="1" applyBorder="1" applyAlignment="1">
      <alignment/>
    </xf>
    <xf numFmtId="0" fontId="0" fillId="35" borderId="39" xfId="0" applyFont="1" applyFill="1" applyBorder="1" applyAlignment="1">
      <alignment horizontal="left"/>
    </xf>
    <xf numFmtId="43" fontId="0" fillId="35" borderId="40" xfId="117" applyFont="1" applyFill="1" applyBorder="1" applyAlignment="1">
      <alignment/>
    </xf>
    <xf numFmtId="43" fontId="5" fillId="35" borderId="40" xfId="117" applyFont="1" applyFill="1" applyBorder="1" applyAlignment="1">
      <alignment horizontal="right"/>
    </xf>
    <xf numFmtId="43" fontId="5" fillId="35" borderId="41" xfId="117" applyFont="1" applyFill="1" applyBorder="1" applyAlignment="1">
      <alignment horizontal="right"/>
    </xf>
    <xf numFmtId="43" fontId="5" fillId="35" borderId="49" xfId="117" applyFont="1" applyFill="1" applyBorder="1" applyAlignment="1">
      <alignment horizontal="right"/>
    </xf>
    <xf numFmtId="43" fontId="0" fillId="35" borderId="0" xfId="117" applyFont="1" applyFill="1" applyBorder="1" applyAlignment="1">
      <alignment horizontal="centerContinuous"/>
    </xf>
    <xf numFmtId="39" fontId="5" fillId="35" borderId="0" xfId="148" applyNumberFormat="1" applyFont="1" applyFill="1" applyBorder="1" applyAlignment="1">
      <alignment horizontal="right"/>
      <protection/>
    </xf>
    <xf numFmtId="0" fontId="50" fillId="35" borderId="0" xfId="147" applyFont="1" applyFill="1">
      <alignment/>
      <protection/>
    </xf>
    <xf numFmtId="0" fontId="12" fillId="35" borderId="0" xfId="147" applyFont="1" applyFill="1">
      <alignment/>
      <protection/>
    </xf>
    <xf numFmtId="0" fontId="5" fillId="35" borderId="0" xfId="0" applyFont="1" applyFill="1" applyBorder="1" applyAlignment="1">
      <alignment horizontal="right"/>
    </xf>
    <xf numFmtId="4" fontId="5" fillId="49" borderId="0" xfId="0" applyNumberFormat="1" applyFont="1" applyFill="1" applyBorder="1" applyAlignment="1">
      <alignment horizontal="left"/>
    </xf>
    <xf numFmtId="4" fontId="9" fillId="49" borderId="0" xfId="0" applyNumberFormat="1" applyFont="1" applyFill="1" applyBorder="1" applyAlignment="1">
      <alignment horizontal="left"/>
    </xf>
    <xf numFmtId="0" fontId="0" fillId="35" borderId="24" xfId="0" applyFont="1" applyFill="1" applyBorder="1" applyAlignment="1">
      <alignment/>
    </xf>
    <xf numFmtId="4" fontId="0" fillId="35" borderId="24" xfId="0" applyNumberFormat="1" applyFont="1" applyFill="1" applyBorder="1" applyAlignment="1">
      <alignment/>
    </xf>
    <xf numFmtId="0" fontId="18" fillId="35" borderId="24" xfId="0" applyFont="1" applyFill="1" applyBorder="1" applyAlignment="1" applyProtection="1">
      <alignment horizontal="center" vertical="center"/>
      <protection/>
    </xf>
    <xf numFmtId="4" fontId="18" fillId="35" borderId="24" xfId="0" applyNumberFormat="1" applyFont="1" applyFill="1" applyBorder="1" applyAlignment="1" applyProtection="1">
      <alignment horizontal="right" vertical="center"/>
      <protection locked="0"/>
    </xf>
    <xf numFmtId="0" fontId="0" fillId="35" borderId="24" xfId="0" applyFont="1" applyFill="1" applyBorder="1" applyAlignment="1">
      <alignment horizontal="right"/>
    </xf>
    <xf numFmtId="4" fontId="5" fillId="35" borderId="24" xfId="0" applyNumberFormat="1" applyFont="1" applyFill="1" applyBorder="1" applyAlignment="1">
      <alignment/>
    </xf>
    <xf numFmtId="0" fontId="0" fillId="35" borderId="64" xfId="0" applyFont="1" applyFill="1" applyBorder="1" applyAlignment="1">
      <alignment horizontal="right"/>
    </xf>
    <xf numFmtId="4" fontId="0" fillId="35" borderId="67" xfId="0" applyNumberFormat="1" applyFont="1" applyFill="1" applyBorder="1" applyAlignment="1">
      <alignment/>
    </xf>
    <xf numFmtId="0" fontId="0" fillId="35" borderId="67" xfId="0" applyFont="1" applyFill="1" applyBorder="1" applyAlignment="1">
      <alignment horizontal="right"/>
    </xf>
    <xf numFmtId="4" fontId="17" fillId="35" borderId="56" xfId="0" applyNumberFormat="1" applyFont="1" applyFill="1" applyBorder="1" applyAlignment="1">
      <alignment/>
    </xf>
    <xf numFmtId="193" fontId="9" fillId="35" borderId="0" xfId="118" applyNumberFormat="1" applyFont="1" applyFill="1" applyBorder="1" applyAlignment="1">
      <alignment horizontal="right" vertical="center"/>
    </xf>
    <xf numFmtId="193" fontId="9" fillId="35" borderId="0" xfId="118" applyNumberFormat="1" applyFont="1" applyFill="1" applyBorder="1" applyAlignment="1" applyProtection="1">
      <alignment horizontal="right" vertical="center"/>
      <protection/>
    </xf>
    <xf numFmtId="0" fontId="9" fillId="35" borderId="55" xfId="146" applyFont="1" applyFill="1" applyBorder="1">
      <alignment/>
      <protection/>
    </xf>
    <xf numFmtId="4" fontId="9" fillId="35" borderId="20" xfId="118" applyNumberFormat="1" applyFont="1" applyFill="1" applyBorder="1" applyAlignment="1">
      <alignment/>
    </xf>
    <xf numFmtId="0" fontId="9" fillId="35" borderId="56" xfId="146" applyFont="1" applyFill="1" applyBorder="1">
      <alignment/>
      <protection/>
    </xf>
    <xf numFmtId="4" fontId="9" fillId="35" borderId="24" xfId="118" applyNumberFormat="1" applyFont="1" applyFill="1" applyBorder="1" applyAlignment="1">
      <alignment/>
    </xf>
    <xf numFmtId="0" fontId="9" fillId="35" borderId="58" xfId="146" applyFont="1" applyFill="1" applyBorder="1">
      <alignment/>
      <protection/>
    </xf>
    <xf numFmtId="193" fontId="9" fillId="35" borderId="25" xfId="118" applyNumberFormat="1" applyFont="1" applyFill="1" applyBorder="1" applyAlignment="1">
      <alignment/>
    </xf>
    <xf numFmtId="193" fontId="12" fillId="35" borderId="25" xfId="118" applyNumberFormat="1" applyFont="1" applyFill="1" applyBorder="1" applyAlignment="1">
      <alignment horizontal="right"/>
    </xf>
    <xf numFmtId="4" fontId="12" fillId="35" borderId="26" xfId="118" applyNumberFormat="1" applyFont="1" applyFill="1" applyBorder="1" applyAlignment="1">
      <alignment horizontal="right"/>
    </xf>
    <xf numFmtId="193" fontId="9" fillId="35" borderId="0" xfId="118" applyNumberFormat="1" applyFont="1" applyFill="1" applyBorder="1" applyAlignment="1">
      <alignment/>
    </xf>
    <xf numFmtId="193" fontId="9" fillId="35" borderId="0" xfId="118" applyNumberFormat="1" applyFont="1" applyFill="1" applyBorder="1" applyAlignment="1">
      <alignment horizontal="center"/>
    </xf>
    <xf numFmtId="193" fontId="9" fillId="35" borderId="0" xfId="118" applyNumberFormat="1" applyFont="1" applyFill="1" applyBorder="1" applyAlignment="1">
      <alignment/>
    </xf>
    <xf numFmtId="4" fontId="0" fillId="35" borderId="0" xfId="0" applyNumberFormat="1" applyFont="1" applyFill="1" applyBorder="1" applyAlignment="1" applyProtection="1">
      <alignment horizontal="right" vertical="center"/>
      <protection locked="0"/>
    </xf>
    <xf numFmtId="0" fontId="12" fillId="35" borderId="0" xfId="146" applyFont="1" applyFill="1" applyBorder="1" applyAlignment="1">
      <alignment horizontal="right"/>
      <protection/>
    </xf>
    <xf numFmtId="193" fontId="12" fillId="35" borderId="0" xfId="118" applyNumberFormat="1" applyFont="1" applyFill="1" applyBorder="1" applyAlignment="1">
      <alignment/>
    </xf>
    <xf numFmtId="0" fontId="12" fillId="35" borderId="0" xfId="146" applyFont="1" applyFill="1" applyBorder="1" applyAlignment="1">
      <alignment horizontal="center"/>
      <protection/>
    </xf>
    <xf numFmtId="4" fontId="12" fillId="35" borderId="0" xfId="118" applyNumberFormat="1" applyFont="1" applyFill="1" applyBorder="1" applyAlignment="1">
      <alignment/>
    </xf>
    <xf numFmtId="193" fontId="12" fillId="35" borderId="0" xfId="118" applyNumberFormat="1" applyFont="1" applyFill="1" applyAlignment="1">
      <alignment/>
    </xf>
    <xf numFmtId="0" fontId="12" fillId="35" borderId="0" xfId="146" applyFont="1" applyFill="1" applyAlignment="1">
      <alignment horizontal="center"/>
      <protection/>
    </xf>
    <xf numFmtId="0" fontId="9" fillId="35" borderId="20" xfId="146" applyFont="1" applyFill="1" applyBorder="1" applyAlignment="1">
      <alignment horizontal="right"/>
      <protection/>
    </xf>
    <xf numFmtId="193" fontId="9" fillId="35" borderId="20" xfId="118" applyNumberFormat="1" applyFont="1" applyFill="1" applyBorder="1" applyAlignment="1">
      <alignment/>
    </xf>
    <xf numFmtId="193" fontId="9" fillId="35" borderId="21" xfId="118" applyNumberFormat="1" applyFont="1" applyFill="1" applyBorder="1" applyAlignment="1">
      <alignment/>
    </xf>
    <xf numFmtId="0" fontId="9" fillId="35" borderId="24" xfId="146" applyFont="1" applyFill="1" applyBorder="1" applyAlignment="1">
      <alignment horizontal="right"/>
      <protection/>
    </xf>
    <xf numFmtId="193" fontId="9" fillId="35" borderId="24" xfId="118" applyNumberFormat="1" applyFont="1" applyFill="1" applyBorder="1" applyAlignment="1">
      <alignment/>
    </xf>
    <xf numFmtId="193" fontId="9" fillId="35" borderId="22" xfId="118" applyNumberFormat="1" applyFont="1" applyFill="1" applyBorder="1" applyAlignment="1">
      <alignment/>
    </xf>
    <xf numFmtId="193" fontId="9" fillId="35" borderId="24" xfId="118" applyNumberFormat="1" applyFont="1" applyFill="1" applyBorder="1" applyAlignment="1">
      <alignment horizontal="center"/>
    </xf>
    <xf numFmtId="4" fontId="9" fillId="35" borderId="24" xfId="118" applyNumberFormat="1" applyFont="1" applyFill="1" applyBorder="1" applyAlignment="1">
      <alignment/>
    </xf>
    <xf numFmtId="193" fontId="9" fillId="35" borderId="24" xfId="65" applyNumberFormat="1" applyFont="1" applyFill="1" applyBorder="1" applyAlignment="1">
      <alignment horizontal="center"/>
    </xf>
    <xf numFmtId="4" fontId="12" fillId="35" borderId="22" xfId="118" applyNumberFormat="1" applyFont="1" applyFill="1" applyBorder="1" applyAlignment="1">
      <alignment/>
    </xf>
    <xf numFmtId="0" fontId="12" fillId="35" borderId="25" xfId="146" applyFont="1" applyFill="1" applyBorder="1" applyAlignment="1">
      <alignment horizontal="right"/>
      <protection/>
    </xf>
    <xf numFmtId="193" fontId="12" fillId="35" borderId="25" xfId="118" applyNumberFormat="1" applyFont="1" applyFill="1" applyBorder="1" applyAlignment="1">
      <alignment horizontal="center"/>
    </xf>
    <xf numFmtId="193" fontId="12" fillId="35" borderId="25" xfId="118" applyNumberFormat="1" applyFont="1" applyFill="1" applyBorder="1" applyAlignment="1">
      <alignment/>
    </xf>
    <xf numFmtId="193" fontId="9" fillId="35" borderId="26" xfId="118" applyNumberFormat="1" applyFont="1" applyFill="1" applyBorder="1" applyAlignment="1">
      <alignment/>
    </xf>
    <xf numFmtId="193" fontId="12" fillId="35" borderId="0" xfId="118" applyNumberFormat="1" applyFont="1" applyFill="1" applyBorder="1" applyAlignment="1">
      <alignment horizontal="center"/>
    </xf>
    <xf numFmtId="193" fontId="9" fillId="55" borderId="0" xfId="118" applyNumberFormat="1" applyFont="1" applyFill="1" applyBorder="1" applyAlignment="1">
      <alignment/>
    </xf>
    <xf numFmtId="0" fontId="98" fillId="52" borderId="0" xfId="146" applyFont="1" applyFill="1" applyBorder="1" applyAlignment="1">
      <alignment horizontal="center"/>
      <protection/>
    </xf>
    <xf numFmtId="193" fontId="9" fillId="52" borderId="0" xfId="118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4" fontId="0" fillId="35" borderId="0" xfId="0" applyNumberFormat="1" applyFont="1" applyFill="1" applyBorder="1" applyAlignment="1">
      <alignment/>
    </xf>
    <xf numFmtId="0" fontId="0" fillId="35" borderId="55" xfId="0" applyFont="1" applyFill="1" applyBorder="1" applyAlignment="1">
      <alignment/>
    </xf>
    <xf numFmtId="2" fontId="0" fillId="35" borderId="20" xfId="0" applyNumberFormat="1" applyFont="1" applyFill="1" applyBorder="1" applyAlignment="1">
      <alignment/>
    </xf>
    <xf numFmtId="4" fontId="0" fillId="35" borderId="21" xfId="0" applyNumberFormat="1" applyFont="1" applyFill="1" applyBorder="1" applyAlignment="1">
      <alignment/>
    </xf>
    <xf numFmtId="0" fontId="0" fillId="35" borderId="56" xfId="0" applyFont="1" applyFill="1" applyBorder="1" applyAlignment="1">
      <alignment/>
    </xf>
    <xf numFmtId="4" fontId="0" fillId="35" borderId="22" xfId="0" applyNumberFormat="1" applyFont="1" applyFill="1" applyBorder="1" applyAlignment="1">
      <alignment/>
    </xf>
    <xf numFmtId="0" fontId="0" fillId="35" borderId="68" xfId="0" applyFont="1" applyFill="1" applyBorder="1" applyAlignment="1">
      <alignment/>
    </xf>
    <xf numFmtId="2" fontId="0" fillId="35" borderId="36" xfId="0" applyNumberFormat="1" applyFont="1" applyFill="1" applyBorder="1" applyAlignment="1">
      <alignment/>
    </xf>
    <xf numFmtId="0" fontId="0" fillId="35" borderId="36" xfId="0" applyFont="1" applyFill="1" applyBorder="1" applyAlignment="1">
      <alignment horizontal="center"/>
    </xf>
    <xf numFmtId="4" fontId="0" fillId="35" borderId="36" xfId="0" applyNumberFormat="1" applyFont="1" applyFill="1" applyBorder="1" applyAlignment="1">
      <alignment/>
    </xf>
    <xf numFmtId="0" fontId="0" fillId="35" borderId="58" xfId="0" applyFont="1" applyFill="1" applyBorder="1" applyAlignment="1">
      <alignment/>
    </xf>
    <xf numFmtId="2" fontId="0" fillId="35" borderId="25" xfId="0" applyNumberFormat="1" applyFont="1" applyFill="1" applyBorder="1" applyAlignment="1">
      <alignment/>
    </xf>
    <xf numFmtId="0" fontId="9" fillId="35" borderId="20" xfId="146" applyFont="1" applyFill="1" applyBorder="1" applyAlignment="1">
      <alignment horizontal="left"/>
      <protection/>
    </xf>
    <xf numFmtId="193" fontId="9" fillId="35" borderId="20" xfId="118" applyNumberFormat="1" applyFont="1" applyFill="1" applyBorder="1" applyAlignment="1">
      <alignment horizontal="center"/>
    </xf>
    <xf numFmtId="4" fontId="9" fillId="35" borderId="34" xfId="95" applyNumberFormat="1" applyFont="1" applyFill="1" applyBorder="1" applyAlignment="1">
      <alignment/>
    </xf>
    <xf numFmtId="0" fontId="9" fillId="35" borderId="37" xfId="0" applyFont="1" applyFill="1" applyBorder="1" applyAlignment="1">
      <alignment/>
    </xf>
    <xf numFmtId="4" fontId="9" fillId="35" borderId="37" xfId="0" applyNumberFormat="1" applyFont="1" applyFill="1" applyBorder="1" applyAlignment="1">
      <alignment/>
    </xf>
    <xf numFmtId="4" fontId="9" fillId="35" borderId="37" xfId="0" applyNumberFormat="1" applyFont="1" applyFill="1" applyBorder="1" applyAlignment="1">
      <alignment horizontal="center"/>
    </xf>
    <xf numFmtId="4" fontId="9" fillId="35" borderId="37" xfId="95" applyNumberFormat="1" applyFont="1" applyFill="1" applyBorder="1" applyAlignment="1">
      <alignment/>
    </xf>
    <xf numFmtId="4" fontId="9" fillId="35" borderId="22" xfId="95" applyNumberFormat="1" applyFont="1" applyFill="1" applyBorder="1" applyAlignment="1">
      <alignment/>
    </xf>
    <xf numFmtId="0" fontId="9" fillId="35" borderId="24" xfId="0" applyFont="1" applyFill="1" applyBorder="1" applyAlignment="1">
      <alignment/>
    </xf>
    <xf numFmtId="4" fontId="9" fillId="35" borderId="24" xfId="0" applyNumberFormat="1" applyFont="1" applyFill="1" applyBorder="1" applyAlignment="1">
      <alignment/>
    </xf>
    <xf numFmtId="4" fontId="9" fillId="35" borderId="24" xfId="0" applyNumberFormat="1" applyFont="1" applyFill="1" applyBorder="1" applyAlignment="1">
      <alignment horizontal="center"/>
    </xf>
    <xf numFmtId="4" fontId="9" fillId="35" borderId="24" xfId="95" applyNumberFormat="1" applyFont="1" applyFill="1" applyBorder="1" applyAlignment="1">
      <alignment/>
    </xf>
    <xf numFmtId="0" fontId="9" fillId="35" borderId="24" xfId="0" applyFont="1" applyFill="1" applyBorder="1" applyAlignment="1">
      <alignment/>
    </xf>
    <xf numFmtId="4" fontId="9" fillId="35" borderId="24" xfId="0" applyNumberFormat="1" applyFont="1" applyFill="1" applyBorder="1" applyAlignment="1">
      <alignment/>
    </xf>
    <xf numFmtId="4" fontId="9" fillId="35" borderId="24" xfId="95" applyNumberFormat="1" applyFont="1" applyFill="1" applyBorder="1" applyAlignment="1">
      <alignment/>
    </xf>
    <xf numFmtId="0" fontId="9" fillId="35" borderId="24" xfId="0" applyFont="1" applyFill="1" applyBorder="1" applyAlignment="1">
      <alignment vertical="top" wrapText="1"/>
    </xf>
    <xf numFmtId="0" fontId="12" fillId="35" borderId="24" xfId="0" applyFont="1" applyFill="1" applyBorder="1" applyAlignment="1">
      <alignment horizontal="right"/>
    </xf>
    <xf numFmtId="4" fontId="9" fillId="35" borderId="24" xfId="95" applyNumberFormat="1" applyFont="1" applyFill="1" applyBorder="1" applyAlignment="1">
      <alignment/>
    </xf>
    <xf numFmtId="4" fontId="12" fillId="35" borderId="22" xfId="95" applyNumberFormat="1" applyFont="1" applyFill="1" applyBorder="1" applyAlignment="1">
      <alignment/>
    </xf>
    <xf numFmtId="0" fontId="12" fillId="35" borderId="25" xfId="0" applyFont="1" applyFill="1" applyBorder="1" applyAlignment="1">
      <alignment horizontal="right"/>
    </xf>
    <xf numFmtId="4" fontId="9" fillId="35" borderId="25" xfId="0" applyNumberFormat="1" applyFont="1" applyFill="1" applyBorder="1" applyAlignment="1">
      <alignment/>
    </xf>
    <xf numFmtId="4" fontId="9" fillId="35" borderId="25" xfId="0" applyNumberFormat="1" applyFont="1" applyFill="1" applyBorder="1" applyAlignment="1">
      <alignment horizontal="center"/>
    </xf>
    <xf numFmtId="4" fontId="9" fillId="35" borderId="25" xfId="95" applyNumberFormat="1" applyFont="1" applyFill="1" applyBorder="1" applyAlignment="1">
      <alignment/>
    </xf>
    <xf numFmtId="4" fontId="12" fillId="35" borderId="26" xfId="95" applyNumberFormat="1" applyFont="1" applyFill="1" applyBorder="1" applyAlignment="1">
      <alignment/>
    </xf>
    <xf numFmtId="39" fontId="0" fillId="35" borderId="0" xfId="0" applyNumberFormat="1" applyFont="1" applyFill="1" applyAlignment="1">
      <alignment vertical="top"/>
    </xf>
    <xf numFmtId="0" fontId="0" fillId="35" borderId="0" xfId="0" applyFont="1" applyFill="1" applyAlignment="1">
      <alignment vertical="top"/>
    </xf>
    <xf numFmtId="0" fontId="0" fillId="35" borderId="55" xfId="0" applyFont="1" applyFill="1" applyBorder="1" applyAlignment="1">
      <alignment vertical="top"/>
    </xf>
    <xf numFmtId="39" fontId="0" fillId="35" borderId="20" xfId="0" applyNumberFormat="1" applyFont="1" applyFill="1" applyBorder="1" applyAlignment="1">
      <alignment vertical="top"/>
    </xf>
    <xf numFmtId="0" fontId="0" fillId="35" borderId="20" xfId="0" applyFont="1" applyFill="1" applyBorder="1" applyAlignment="1">
      <alignment horizontal="center" vertical="top"/>
    </xf>
    <xf numFmtId="4" fontId="0" fillId="35" borderId="20" xfId="0" applyNumberFormat="1" applyFont="1" applyFill="1" applyBorder="1" applyAlignment="1">
      <alignment vertical="top"/>
    </xf>
    <xf numFmtId="0" fontId="0" fillId="35" borderId="56" xfId="0" applyFont="1" applyFill="1" applyBorder="1" applyAlignment="1">
      <alignment vertical="top"/>
    </xf>
    <xf numFmtId="39" fontId="0" fillId="35" borderId="24" xfId="0" applyNumberFormat="1" applyFont="1" applyFill="1" applyBorder="1" applyAlignment="1">
      <alignment vertical="top"/>
    </xf>
    <xf numFmtId="0" fontId="0" fillId="35" borderId="24" xfId="0" applyFont="1" applyFill="1" applyBorder="1" applyAlignment="1">
      <alignment horizontal="center" vertical="top"/>
    </xf>
    <xf numFmtId="4" fontId="0" fillId="35" borderId="24" xfId="0" applyNumberFormat="1" applyFont="1" applyFill="1" applyBorder="1" applyAlignment="1">
      <alignment vertical="top"/>
    </xf>
    <xf numFmtId="0" fontId="5" fillId="35" borderId="56" xfId="0" applyFont="1" applyFill="1" applyBorder="1" applyAlignment="1">
      <alignment vertical="top"/>
    </xf>
    <xf numFmtId="199" fontId="0" fillId="35" borderId="24" xfId="0" applyNumberFormat="1" applyFont="1" applyFill="1" applyBorder="1" applyAlignment="1">
      <alignment vertical="top"/>
    </xf>
    <xf numFmtId="0" fontId="0" fillId="35" borderId="24" xfId="0" applyFont="1" applyFill="1" applyBorder="1" applyAlignment="1">
      <alignment vertical="top"/>
    </xf>
    <xf numFmtId="0" fontId="0" fillId="35" borderId="22" xfId="0" applyFont="1" applyFill="1" applyBorder="1" applyAlignment="1">
      <alignment vertical="top"/>
    </xf>
    <xf numFmtId="4" fontId="0" fillId="35" borderId="24" xfId="0" applyNumberFormat="1" applyFont="1" applyFill="1" applyBorder="1" applyAlignment="1">
      <alignment horizontal="center" vertical="top"/>
    </xf>
    <xf numFmtId="4" fontId="5" fillId="35" borderId="22" xfId="0" applyNumberFormat="1" applyFont="1" applyFill="1" applyBorder="1" applyAlignment="1">
      <alignment vertical="top"/>
    </xf>
    <xf numFmtId="0" fontId="0" fillId="35" borderId="58" xfId="0" applyFont="1" applyFill="1" applyBorder="1" applyAlignment="1">
      <alignment vertical="top"/>
    </xf>
    <xf numFmtId="199" fontId="0" fillId="35" borderId="25" xfId="0" applyNumberFormat="1" applyFont="1" applyFill="1" applyBorder="1" applyAlignment="1">
      <alignment vertical="top"/>
    </xf>
    <xf numFmtId="0" fontId="0" fillId="35" borderId="25" xfId="0" applyFont="1" applyFill="1" applyBorder="1" applyAlignment="1">
      <alignment vertical="top"/>
    </xf>
    <xf numFmtId="0" fontId="5" fillId="35" borderId="25" xfId="0" applyFont="1" applyFill="1" applyBorder="1" applyAlignment="1">
      <alignment horizontal="right" vertical="top"/>
    </xf>
    <xf numFmtId="4" fontId="97" fillId="35" borderId="26" xfId="0" applyNumberFormat="1" applyFont="1" applyFill="1" applyBorder="1" applyAlignment="1">
      <alignment vertical="top"/>
    </xf>
    <xf numFmtId="39" fontId="9" fillId="35" borderId="0" xfId="151" applyFont="1" applyFill="1" applyBorder="1">
      <alignment/>
      <protection/>
    </xf>
    <xf numFmtId="4" fontId="9" fillId="35" borderId="0" xfId="151" applyNumberFormat="1" applyFont="1" applyFill="1" applyBorder="1" applyAlignment="1">
      <alignment horizontal="right"/>
      <protection/>
    </xf>
    <xf numFmtId="39" fontId="9" fillId="35" borderId="0" xfId="151" applyFont="1" applyFill="1" applyBorder="1" applyAlignment="1">
      <alignment horizontal="center"/>
      <protection/>
    </xf>
    <xf numFmtId="4" fontId="9" fillId="35" borderId="0" xfId="151" applyNumberFormat="1" applyFont="1" applyFill="1" applyBorder="1">
      <alignment/>
      <protection/>
    </xf>
    <xf numFmtId="199" fontId="0" fillId="35" borderId="0" xfId="0" applyNumberFormat="1" applyFont="1" applyFill="1" applyAlignment="1">
      <alignment vertical="top"/>
    </xf>
    <xf numFmtId="0" fontId="5" fillId="35" borderId="24" xfId="0" applyFont="1" applyFill="1" applyBorder="1" applyAlignment="1">
      <alignment horizontal="right" vertical="top"/>
    </xf>
    <xf numFmtId="0" fontId="0" fillId="35" borderId="68" xfId="0" applyFont="1" applyFill="1" applyBorder="1" applyAlignment="1">
      <alignment vertical="top"/>
    </xf>
    <xf numFmtId="199" fontId="0" fillId="35" borderId="36" xfId="0" applyNumberFormat="1" applyFont="1" applyFill="1" applyBorder="1" applyAlignment="1">
      <alignment vertical="top"/>
    </xf>
    <xf numFmtId="0" fontId="0" fillId="35" borderId="36" xfId="0" applyFont="1" applyFill="1" applyBorder="1" applyAlignment="1">
      <alignment vertical="top"/>
    </xf>
    <xf numFmtId="0" fontId="5" fillId="35" borderId="36" xfId="0" applyFont="1" applyFill="1" applyBorder="1" applyAlignment="1">
      <alignment horizontal="right" vertical="top"/>
    </xf>
    <xf numFmtId="4" fontId="97" fillId="35" borderId="54" xfId="0" applyNumberFormat="1" applyFont="1" applyFill="1" applyBorder="1" applyAlignment="1">
      <alignment vertical="top"/>
    </xf>
    <xf numFmtId="0" fontId="12" fillId="52" borderId="40" xfId="154" applyFont="1" applyFill="1" applyBorder="1" applyAlignment="1">
      <alignment horizontal="right" vertical="top"/>
      <protection/>
    </xf>
    <xf numFmtId="4" fontId="9" fillId="52" borderId="40" xfId="116" applyNumberFormat="1" applyFont="1" applyFill="1" applyBorder="1" applyAlignment="1">
      <alignment/>
    </xf>
    <xf numFmtId="193" fontId="9" fillId="52" borderId="40" xfId="116" applyNumberFormat="1" applyFont="1" applyFill="1" applyBorder="1" applyAlignment="1">
      <alignment horizontal="centerContinuous"/>
    </xf>
    <xf numFmtId="4" fontId="5" fillId="52" borderId="41" xfId="0" applyNumberFormat="1" applyFont="1" applyFill="1" applyBorder="1" applyAlignment="1" applyProtection="1">
      <alignment horizontal="right" vertical="center"/>
      <protection locked="0"/>
    </xf>
    <xf numFmtId="39" fontId="12" fillId="35" borderId="0" xfId="146" applyNumberFormat="1" applyFont="1" applyFill="1" applyBorder="1" applyAlignment="1">
      <alignment horizontal="right"/>
      <protection/>
    </xf>
    <xf numFmtId="0" fontId="12" fillId="35" borderId="0" xfId="149" applyFont="1" applyFill="1" applyBorder="1" applyAlignment="1" applyProtection="1">
      <alignment horizontal="left" vertical="center"/>
      <protection/>
    </xf>
    <xf numFmtId="0" fontId="9" fillId="35" borderId="20" xfId="149" applyFont="1" applyFill="1" applyBorder="1" applyAlignment="1" applyProtection="1">
      <alignment horizontal="left" vertical="center"/>
      <protection/>
    </xf>
    <xf numFmtId="4" fontId="9" fillId="35" borderId="20" xfId="118" applyNumberFormat="1" applyFont="1" applyFill="1" applyBorder="1" applyAlignment="1">
      <alignment horizontal="right" vertical="center"/>
    </xf>
    <xf numFmtId="0" fontId="9" fillId="35" borderId="20" xfId="149" applyFont="1" applyFill="1" applyBorder="1" applyAlignment="1">
      <alignment horizontal="center" vertical="center"/>
      <protection/>
    </xf>
    <xf numFmtId="4" fontId="9" fillId="35" borderId="34" xfId="118" applyNumberFormat="1" applyFont="1" applyFill="1" applyBorder="1" applyAlignment="1" applyProtection="1">
      <alignment horizontal="right" vertical="center"/>
      <protection locked="0"/>
    </xf>
    <xf numFmtId="0" fontId="9" fillId="35" borderId="24" xfId="149" applyFont="1" applyFill="1" applyBorder="1" applyAlignment="1" applyProtection="1">
      <alignment horizontal="left" vertical="center"/>
      <protection/>
    </xf>
    <xf numFmtId="4" fontId="9" fillId="35" borderId="24" xfId="118" applyNumberFormat="1" applyFont="1" applyFill="1" applyBorder="1" applyAlignment="1">
      <alignment horizontal="right" vertical="center"/>
    </xf>
    <xf numFmtId="0" fontId="9" fillId="35" borderId="24" xfId="149" applyFont="1" applyFill="1" applyBorder="1" applyAlignment="1">
      <alignment horizontal="center" vertical="center"/>
      <protection/>
    </xf>
    <xf numFmtId="4" fontId="9" fillId="35" borderId="22" xfId="118" applyNumberFormat="1" applyFont="1" applyFill="1" applyBorder="1" applyAlignment="1" applyProtection="1">
      <alignment horizontal="right" vertical="center"/>
      <protection locked="0"/>
    </xf>
    <xf numFmtId="0" fontId="0" fillId="0" borderId="24" xfId="150" applyFont="1" applyFill="1" applyBorder="1">
      <alignment/>
      <protection/>
    </xf>
    <xf numFmtId="0" fontId="9" fillId="35" borderId="36" xfId="149" applyFont="1" applyFill="1" applyBorder="1" applyAlignment="1" applyProtection="1">
      <alignment horizontal="left" vertical="center"/>
      <protection/>
    </xf>
    <xf numFmtId="4" fontId="9" fillId="35" borderId="36" xfId="118" applyNumberFormat="1" applyFont="1" applyFill="1" applyBorder="1" applyAlignment="1">
      <alignment horizontal="right" vertical="center"/>
    </xf>
    <xf numFmtId="0" fontId="9" fillId="35" borderId="36" xfId="149" applyFont="1" applyFill="1" applyBorder="1" applyAlignment="1">
      <alignment horizontal="center" vertical="center"/>
      <protection/>
    </xf>
    <xf numFmtId="49" fontId="12" fillId="35" borderId="36" xfId="118" applyNumberFormat="1" applyFont="1" applyFill="1" applyBorder="1" applyAlignment="1">
      <alignment horizontal="right" vertical="center"/>
    </xf>
    <xf numFmtId="4" fontId="12" fillId="35" borderId="54" xfId="118" applyNumberFormat="1" applyFont="1" applyFill="1" applyBorder="1" applyAlignment="1">
      <alignment horizontal="right" vertical="center"/>
    </xf>
    <xf numFmtId="193" fontId="9" fillId="35" borderId="36" xfId="118" applyNumberFormat="1" applyFont="1" applyFill="1" applyBorder="1" applyAlignment="1">
      <alignment horizontal="right" vertical="center"/>
    </xf>
    <xf numFmtId="0" fontId="9" fillId="35" borderId="25" xfId="149" applyFont="1" applyFill="1" applyBorder="1" applyAlignment="1" applyProtection="1">
      <alignment horizontal="left" vertical="center"/>
      <protection/>
    </xf>
    <xf numFmtId="193" fontId="9" fillId="35" borderId="25" xfId="118" applyNumberFormat="1" applyFont="1" applyFill="1" applyBorder="1" applyAlignment="1">
      <alignment horizontal="right" vertical="center"/>
    </xf>
    <xf numFmtId="0" fontId="9" fillId="35" borderId="25" xfId="149" applyFont="1" applyFill="1" applyBorder="1" applyAlignment="1">
      <alignment horizontal="center" vertical="center"/>
      <protection/>
    </xf>
    <xf numFmtId="49" fontId="12" fillId="35" borderId="25" xfId="118" applyNumberFormat="1" applyFont="1" applyFill="1" applyBorder="1" applyAlignment="1">
      <alignment horizontal="right" vertical="center"/>
    </xf>
    <xf numFmtId="4" fontId="17" fillId="35" borderId="26" xfId="118" applyNumberFormat="1" applyFont="1" applyFill="1" applyBorder="1" applyAlignment="1">
      <alignment horizontal="right" vertical="center"/>
    </xf>
    <xf numFmtId="0" fontId="12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right"/>
    </xf>
    <xf numFmtId="39" fontId="12" fillId="35" borderId="0" xfId="0" applyNumberFormat="1" applyFont="1" applyFill="1" applyBorder="1" applyAlignment="1">
      <alignment horizontal="right"/>
    </xf>
    <xf numFmtId="0" fontId="9" fillId="35" borderId="20" xfId="0" applyFont="1" applyFill="1" applyBorder="1" applyAlignment="1">
      <alignment/>
    </xf>
    <xf numFmtId="4" fontId="9" fillId="35" borderId="20" xfId="0" applyNumberFormat="1" applyFont="1" applyFill="1" applyBorder="1" applyAlignment="1">
      <alignment/>
    </xf>
    <xf numFmtId="0" fontId="9" fillId="35" borderId="20" xfId="0" applyFont="1" applyFill="1" applyBorder="1" applyAlignment="1">
      <alignment horizontal="centerContinuous"/>
    </xf>
    <xf numFmtId="4" fontId="9" fillId="35" borderId="20" xfId="0" applyNumberFormat="1" applyFont="1" applyFill="1" applyBorder="1" applyAlignment="1">
      <alignment horizontal="right"/>
    </xf>
    <xf numFmtId="4" fontId="9" fillId="35" borderId="21" xfId="0" applyNumberFormat="1" applyFont="1" applyFill="1" applyBorder="1" applyAlignment="1">
      <alignment horizontal="right"/>
    </xf>
    <xf numFmtId="0" fontId="9" fillId="35" borderId="24" xfId="0" applyFont="1" applyFill="1" applyBorder="1" applyAlignment="1">
      <alignment vertical="top"/>
    </xf>
    <xf numFmtId="4" fontId="9" fillId="35" borderId="24" xfId="0" applyNumberFormat="1" applyFont="1" applyFill="1" applyBorder="1" applyAlignment="1">
      <alignment/>
    </xf>
    <xf numFmtId="0" fontId="9" fillId="35" borderId="24" xfId="0" applyFont="1" applyFill="1" applyBorder="1" applyAlignment="1">
      <alignment horizontal="centerContinuous"/>
    </xf>
    <xf numFmtId="4" fontId="9" fillId="35" borderId="24" xfId="0" applyNumberFormat="1" applyFont="1" applyFill="1" applyBorder="1" applyAlignment="1">
      <alignment horizontal="right"/>
    </xf>
    <xf numFmtId="4" fontId="9" fillId="35" borderId="22" xfId="0" applyNumberFormat="1" applyFont="1" applyFill="1" applyBorder="1" applyAlignment="1">
      <alignment horizontal="right"/>
    </xf>
    <xf numFmtId="0" fontId="9" fillId="35" borderId="24" xfId="0" applyFont="1" applyFill="1" applyBorder="1" applyAlignment="1">
      <alignment/>
    </xf>
    <xf numFmtId="0" fontId="9" fillId="35" borderId="24" xfId="0" applyFont="1" applyFill="1" applyBorder="1" applyAlignment="1">
      <alignment horizontal="center"/>
    </xf>
    <xf numFmtId="0" fontId="9" fillId="35" borderId="25" xfId="0" applyFont="1" applyFill="1" applyBorder="1" applyAlignment="1">
      <alignment/>
    </xf>
    <xf numFmtId="4" fontId="12" fillId="35" borderId="26" xfId="0" applyNumberFormat="1" applyFont="1" applyFill="1" applyBorder="1" applyAlignment="1">
      <alignment horizontal="right"/>
    </xf>
    <xf numFmtId="193" fontId="9" fillId="35" borderId="0" xfId="118" applyNumberFormat="1" applyFont="1" applyFill="1" applyBorder="1" applyAlignment="1">
      <alignment vertical="center"/>
    </xf>
    <xf numFmtId="0" fontId="9" fillId="35" borderId="0" xfId="149" applyFont="1" applyFill="1" applyBorder="1" applyAlignment="1" applyProtection="1" quotePrefix="1">
      <alignment horizontal="left" vertical="center"/>
      <protection/>
    </xf>
    <xf numFmtId="193" fontId="9" fillId="35" borderId="0" xfId="118" applyNumberFormat="1" applyFont="1" applyFill="1" applyBorder="1" applyAlignment="1" applyProtection="1" quotePrefix="1">
      <alignment horizontal="left" vertical="center"/>
      <protection/>
    </xf>
    <xf numFmtId="193" fontId="9" fillId="35" borderId="58" xfId="115" applyNumberFormat="1" applyFont="1" applyFill="1" applyBorder="1" applyAlignment="1" applyProtection="1" quotePrefix="1">
      <alignment horizontal="left" vertical="center"/>
      <protection/>
    </xf>
    <xf numFmtId="193" fontId="12" fillId="35" borderId="47" xfId="118" applyNumberFormat="1" applyFont="1" applyFill="1" applyBorder="1" applyAlignment="1">
      <alignment horizontal="right"/>
    </xf>
    <xf numFmtId="193" fontId="12" fillId="35" borderId="0" xfId="118" applyNumberFormat="1" applyFont="1" applyFill="1" applyBorder="1" applyAlignment="1" applyProtection="1">
      <alignment horizontal="right" vertical="center"/>
      <protection/>
    </xf>
    <xf numFmtId="204" fontId="9" fillId="35" borderId="0" xfId="118" applyNumberFormat="1" applyFont="1" applyFill="1" applyBorder="1" applyAlignment="1">
      <alignment/>
    </xf>
    <xf numFmtId="208" fontId="0" fillId="52" borderId="44" xfId="0" applyNumberFormat="1" applyFont="1" applyFill="1" applyBorder="1" applyAlignment="1" applyProtection="1">
      <alignment vertical="top" wrapText="1"/>
      <protection/>
    </xf>
    <xf numFmtId="37" fontId="5" fillId="52" borderId="44" xfId="0" applyNumberFormat="1" applyFont="1" applyFill="1" applyBorder="1" applyAlignment="1" applyProtection="1">
      <alignment vertical="top" wrapText="1"/>
      <protection/>
    </xf>
    <xf numFmtId="39" fontId="9" fillId="52" borderId="44" xfId="0" applyNumberFormat="1" applyFont="1" applyFill="1" applyBorder="1" applyAlignment="1" applyProtection="1">
      <alignment vertical="top" wrapText="1"/>
      <protection locked="0"/>
    </xf>
    <xf numFmtId="37" fontId="5" fillId="52" borderId="69" xfId="0" applyNumberFormat="1" applyFont="1" applyFill="1" applyBorder="1" applyAlignment="1" applyProtection="1">
      <alignment vertical="top" wrapText="1"/>
      <protection/>
    </xf>
    <xf numFmtId="208" fontId="0" fillId="52" borderId="69" xfId="0" applyNumberFormat="1" applyFont="1" applyFill="1" applyBorder="1" applyAlignment="1" applyProtection="1">
      <alignment vertical="top" wrapText="1"/>
      <protection/>
    </xf>
    <xf numFmtId="4" fontId="0" fillId="52" borderId="44" xfId="142" applyNumberFormat="1" applyFont="1" applyFill="1" applyBorder="1" applyAlignment="1" applyProtection="1">
      <alignment vertical="top"/>
      <protection locked="0"/>
    </xf>
    <xf numFmtId="4" fontId="9" fillId="52" borderId="44" xfId="142" applyNumberFormat="1" applyFont="1" applyFill="1" applyBorder="1" applyAlignment="1" applyProtection="1">
      <alignment vertical="top" wrapText="1"/>
      <protection locked="0"/>
    </xf>
    <xf numFmtId="208" fontId="89" fillId="52" borderId="69" xfId="0" applyNumberFormat="1" applyFont="1" applyFill="1" applyBorder="1" applyAlignment="1" applyProtection="1">
      <alignment vertical="top" wrapText="1"/>
      <protection/>
    </xf>
    <xf numFmtId="208" fontId="99" fillId="52" borderId="44" xfId="0" applyNumberFormat="1" applyFont="1" applyFill="1" applyBorder="1" applyAlignment="1" applyProtection="1">
      <alignment horizontal="center" vertical="top"/>
      <protection/>
    </xf>
    <xf numFmtId="184" fontId="99" fillId="52" borderId="44" xfId="128" applyNumberFormat="1" applyFont="1" applyFill="1" applyBorder="1" applyAlignment="1" applyProtection="1">
      <alignment vertical="top" wrapText="1"/>
      <protection/>
    </xf>
    <xf numFmtId="214" fontId="89" fillId="52" borderId="44" xfId="128" applyNumberFormat="1" applyFont="1" applyFill="1" applyBorder="1" applyAlignment="1" applyProtection="1">
      <alignment horizontal="right" vertical="top"/>
      <protection/>
    </xf>
    <xf numFmtId="0" fontId="89" fillId="52" borderId="44" xfId="128" applyFont="1" applyFill="1" applyBorder="1" applyAlignment="1" applyProtection="1">
      <alignment horizontal="center" vertical="top" wrapText="1"/>
      <protection/>
    </xf>
    <xf numFmtId="4" fontId="89" fillId="52" borderId="44" xfId="0" applyNumberFormat="1" applyFont="1" applyFill="1" applyBorder="1" applyAlignment="1" applyProtection="1">
      <alignment vertical="top" wrapText="1"/>
      <protection/>
    </xf>
    <xf numFmtId="208" fontId="89" fillId="52" borderId="44" xfId="0" applyNumberFormat="1" applyFont="1" applyFill="1" applyBorder="1" applyAlignment="1" applyProtection="1">
      <alignment horizontal="right" vertical="top"/>
      <protection/>
    </xf>
    <xf numFmtId="208" fontId="99" fillId="52" borderId="44" xfId="0" applyNumberFormat="1" applyFont="1" applyFill="1" applyBorder="1" applyAlignment="1" applyProtection="1">
      <alignment horizontal="right" vertical="top"/>
      <protection/>
    </xf>
    <xf numFmtId="0" fontId="0" fillId="52" borderId="0" xfId="0" applyFill="1" applyAlignment="1" applyProtection="1">
      <alignment/>
      <protection locked="0"/>
    </xf>
    <xf numFmtId="0" fontId="12" fillId="52" borderId="0" xfId="0" applyFont="1" applyFill="1" applyBorder="1" applyAlignment="1" applyProtection="1">
      <alignment horizontal="center" vertical="top"/>
      <protection locked="0"/>
    </xf>
    <xf numFmtId="0" fontId="0" fillId="52" borderId="0" xfId="0" applyFont="1" applyFill="1" applyBorder="1" applyAlignment="1" applyProtection="1">
      <alignment/>
      <protection locked="0"/>
    </xf>
    <xf numFmtId="4" fontId="9" fillId="52" borderId="0" xfId="0" applyNumberFormat="1" applyFont="1" applyFill="1" applyBorder="1" applyAlignment="1" applyProtection="1">
      <alignment/>
      <protection locked="0"/>
    </xf>
    <xf numFmtId="0" fontId="9" fillId="52" borderId="0" xfId="0" applyFont="1" applyFill="1" applyBorder="1" applyAlignment="1" applyProtection="1">
      <alignment/>
      <protection locked="0"/>
    </xf>
    <xf numFmtId="4" fontId="0" fillId="52" borderId="0" xfId="0" applyNumberFormat="1" applyFont="1" applyFill="1" applyBorder="1" applyAlignment="1" applyProtection="1">
      <alignment/>
      <protection locked="0"/>
    </xf>
    <xf numFmtId="0" fontId="9" fillId="52" borderId="0" xfId="0" applyFont="1" applyFill="1" applyBorder="1" applyAlignment="1" applyProtection="1">
      <alignment/>
      <protection locked="0"/>
    </xf>
    <xf numFmtId="0" fontId="9" fillId="52" borderId="0" xfId="0" applyFont="1" applyFill="1" applyBorder="1" applyAlignment="1" applyProtection="1">
      <alignment horizontal="left" vertical="top"/>
      <protection locked="0"/>
    </xf>
    <xf numFmtId="0" fontId="0" fillId="52" borderId="0" xfId="0" applyFont="1" applyFill="1" applyBorder="1" applyAlignment="1" applyProtection="1">
      <alignment horizontal="left"/>
      <protection locked="0"/>
    </xf>
    <xf numFmtId="4" fontId="9" fillId="52" borderId="0" xfId="0" applyNumberFormat="1" applyFont="1" applyFill="1" applyBorder="1" applyAlignment="1" applyProtection="1">
      <alignment horizontal="left"/>
      <protection locked="0"/>
    </xf>
    <xf numFmtId="0" fontId="9" fillId="52" borderId="0" xfId="0" applyFont="1" applyFill="1" applyBorder="1" applyAlignment="1" applyProtection="1">
      <alignment horizontal="left"/>
      <protection locked="0"/>
    </xf>
    <xf numFmtId="4" fontId="0" fillId="52" borderId="0" xfId="0" applyNumberFormat="1" applyFont="1" applyFill="1" applyBorder="1" applyAlignment="1" applyProtection="1">
      <alignment horizontal="left"/>
      <protection locked="0"/>
    </xf>
    <xf numFmtId="0" fontId="0" fillId="52" borderId="0" xfId="0" applyFill="1" applyAlignment="1" applyProtection="1">
      <alignment horizontal="left"/>
      <protection locked="0"/>
    </xf>
    <xf numFmtId="0" fontId="12" fillId="52" borderId="24" xfId="0" applyFont="1" applyFill="1" applyBorder="1" applyAlignment="1" applyProtection="1">
      <alignment horizontal="center" vertical="top"/>
      <protection locked="0"/>
    </xf>
    <xf numFmtId="0" fontId="5" fillId="52" borderId="24" xfId="0" applyFont="1" applyFill="1" applyBorder="1" applyAlignment="1" applyProtection="1">
      <alignment horizontal="center" vertical="center"/>
      <protection locked="0"/>
    </xf>
    <xf numFmtId="4" fontId="12" fillId="52" borderId="24" xfId="0" applyNumberFormat="1" applyFont="1" applyFill="1" applyBorder="1" applyAlignment="1" applyProtection="1">
      <alignment horizontal="center" vertical="center"/>
      <protection locked="0"/>
    </xf>
    <xf numFmtId="4" fontId="5" fillId="52" borderId="24" xfId="0" applyNumberFormat="1" applyFont="1" applyFill="1" applyBorder="1" applyAlignment="1" applyProtection="1">
      <alignment horizontal="center" vertical="center"/>
      <protection locked="0"/>
    </xf>
    <xf numFmtId="0" fontId="12" fillId="52" borderId="36" xfId="0" applyFont="1" applyFill="1" applyBorder="1" applyAlignment="1" applyProtection="1">
      <alignment horizontal="center" vertical="top"/>
      <protection locked="0"/>
    </xf>
    <xf numFmtId="0" fontId="5" fillId="52" borderId="36" xfId="0" applyFont="1" applyFill="1" applyBorder="1" applyAlignment="1" applyProtection="1">
      <alignment horizontal="center" vertical="center"/>
      <protection locked="0"/>
    </xf>
    <xf numFmtId="4" fontId="12" fillId="52" borderId="36" xfId="0" applyNumberFormat="1" applyFont="1" applyFill="1" applyBorder="1" applyAlignment="1" applyProtection="1">
      <alignment horizontal="center" vertical="center"/>
      <protection locked="0"/>
    </xf>
    <xf numFmtId="4" fontId="12" fillId="52" borderId="36" xfId="0" applyNumberFormat="1" applyFont="1" applyFill="1" applyBorder="1" applyAlignment="1" applyProtection="1">
      <alignment horizontal="center"/>
      <protection locked="0"/>
    </xf>
    <xf numFmtId="4" fontId="5" fillId="52" borderId="36" xfId="0" applyNumberFormat="1" applyFont="1" applyFill="1" applyBorder="1" applyAlignment="1" applyProtection="1">
      <alignment horizontal="center" vertical="center"/>
      <protection locked="0"/>
    </xf>
    <xf numFmtId="0" fontId="23" fillId="52" borderId="0" xfId="0" applyFont="1" applyFill="1" applyAlignment="1" applyProtection="1">
      <alignment/>
      <protection locked="0"/>
    </xf>
    <xf numFmtId="4" fontId="0" fillId="52" borderId="44" xfId="0" applyNumberFormat="1" applyFont="1" applyFill="1" applyBorder="1" applyAlignment="1" applyProtection="1">
      <alignment vertical="center"/>
      <protection locked="0"/>
    </xf>
    <xf numFmtId="39" fontId="9" fillId="52" borderId="44" xfId="0" applyNumberFormat="1" applyFont="1" applyFill="1" applyBorder="1" applyAlignment="1" applyProtection="1">
      <alignment vertical="center"/>
      <protection locked="0"/>
    </xf>
    <xf numFmtId="0" fontId="23" fillId="52" borderId="0" xfId="0" applyFont="1" applyFill="1" applyBorder="1" applyAlignment="1" applyProtection="1">
      <alignment/>
      <protection locked="0"/>
    </xf>
    <xf numFmtId="4" fontId="0" fillId="52" borderId="70" xfId="0" applyNumberFormat="1" applyFont="1" applyFill="1" applyBorder="1" applyAlignment="1" applyProtection="1">
      <alignment vertical="top"/>
      <protection locked="0"/>
    </xf>
    <xf numFmtId="4" fontId="0" fillId="52" borderId="44" xfId="0" applyNumberFormat="1" applyFont="1" applyFill="1" applyBorder="1" applyAlignment="1" applyProtection="1">
      <alignment vertical="top"/>
      <protection locked="0"/>
    </xf>
    <xf numFmtId="183" fontId="0" fillId="52" borderId="44" xfId="95" applyFont="1" applyFill="1" applyBorder="1" applyAlignment="1" applyProtection="1">
      <alignment vertical="top"/>
      <protection locked="0"/>
    </xf>
    <xf numFmtId="4" fontId="5" fillId="52" borderId="44" xfId="0" applyNumberFormat="1" applyFont="1" applyFill="1" applyBorder="1" applyAlignment="1" applyProtection="1">
      <alignment vertical="top"/>
      <protection locked="0"/>
    </xf>
    <xf numFmtId="0" fontId="23" fillId="54" borderId="0" xfId="0" applyFont="1" applyFill="1" applyBorder="1" applyAlignment="1" applyProtection="1">
      <alignment/>
      <protection locked="0"/>
    </xf>
    <xf numFmtId="4" fontId="0" fillId="52" borderId="71" xfId="0" applyNumberFormat="1" applyFont="1" applyFill="1" applyBorder="1" applyAlignment="1" applyProtection="1">
      <alignment vertical="top"/>
      <protection locked="0"/>
    </xf>
    <xf numFmtId="4" fontId="9" fillId="55" borderId="44" xfId="0" applyNumberFormat="1" applyFont="1" applyFill="1" applyBorder="1" applyAlignment="1" applyProtection="1">
      <alignment horizontal="center" vertical="top"/>
      <protection locked="0"/>
    </xf>
    <xf numFmtId="183" fontId="9" fillId="55" borderId="44" xfId="95" applyFont="1" applyFill="1" applyBorder="1" applyAlignment="1" applyProtection="1">
      <alignment horizontal="right" vertical="top"/>
      <protection locked="0"/>
    </xf>
    <xf numFmtId="4" fontId="89" fillId="52" borderId="44" xfId="0" applyNumberFormat="1" applyFont="1" applyFill="1" applyBorder="1" applyAlignment="1" applyProtection="1">
      <alignment vertical="top"/>
      <protection locked="0"/>
    </xf>
    <xf numFmtId="4" fontId="0" fillId="52" borderId="37" xfId="0" applyNumberFormat="1" applyFont="1" applyFill="1" applyBorder="1" applyAlignment="1" applyProtection="1">
      <alignment vertical="top"/>
      <protection locked="0"/>
    </xf>
    <xf numFmtId="4" fontId="0" fillId="52" borderId="70" xfId="107" applyNumberFormat="1" applyFont="1" applyFill="1" applyBorder="1" applyAlignment="1" applyProtection="1">
      <alignment horizontal="right" vertical="top" wrapText="1"/>
      <protection locked="0"/>
    </xf>
    <xf numFmtId="0" fontId="23" fillId="52" borderId="0" xfId="0" applyFont="1" applyFill="1" applyBorder="1" applyAlignment="1" applyProtection="1">
      <alignment vertical="top"/>
      <protection locked="0"/>
    </xf>
    <xf numFmtId="0" fontId="23" fillId="55" borderId="0" xfId="0" applyFont="1" applyFill="1" applyBorder="1" applyAlignment="1" applyProtection="1">
      <alignment/>
      <protection locked="0"/>
    </xf>
    <xf numFmtId="0" fontId="23" fillId="55" borderId="0" xfId="0" applyFont="1" applyFill="1" applyAlignment="1" applyProtection="1">
      <alignment/>
      <protection locked="0"/>
    </xf>
    <xf numFmtId="0" fontId="0" fillId="54" borderId="0" xfId="0" applyFill="1" applyAlignment="1" applyProtection="1">
      <alignment/>
      <protection locked="0"/>
    </xf>
    <xf numFmtId="0" fontId="0" fillId="52" borderId="0" xfId="0" applyFont="1" applyFill="1" applyAlignment="1" applyProtection="1">
      <alignment/>
      <protection locked="0"/>
    </xf>
    <xf numFmtId="4" fontId="0" fillId="52" borderId="44" xfId="107" applyNumberFormat="1" applyFont="1" applyFill="1" applyBorder="1" applyAlignment="1" applyProtection="1">
      <alignment horizontal="right" vertical="top" wrapText="1"/>
      <protection locked="0"/>
    </xf>
    <xf numFmtId="4" fontId="9" fillId="55" borderId="37" xfId="0" applyNumberFormat="1" applyFont="1" applyFill="1" applyBorder="1" applyAlignment="1" applyProtection="1">
      <alignment horizontal="center" vertical="top"/>
      <protection locked="0"/>
    </xf>
    <xf numFmtId="183" fontId="9" fillId="55" borderId="37" xfId="95" applyFont="1" applyFill="1" applyBorder="1" applyAlignment="1" applyProtection="1">
      <alignment horizontal="right" vertical="top"/>
      <protection locked="0"/>
    </xf>
    <xf numFmtId="4" fontId="0" fillId="55" borderId="37" xfId="0" applyNumberFormat="1" applyFont="1" applyFill="1" applyBorder="1" applyAlignment="1" applyProtection="1">
      <alignment vertical="top"/>
      <protection locked="0"/>
    </xf>
    <xf numFmtId="183" fontId="0" fillId="55" borderId="37" xfId="95" applyFont="1" applyFill="1" applyBorder="1" applyAlignment="1" applyProtection="1">
      <alignment vertical="top"/>
      <protection locked="0"/>
    </xf>
    <xf numFmtId="0" fontId="89" fillId="52" borderId="0" xfId="0" applyFont="1" applyFill="1" applyAlignment="1" applyProtection="1">
      <alignment/>
      <protection locked="0"/>
    </xf>
    <xf numFmtId="0" fontId="89" fillId="54" borderId="0" xfId="0" applyFont="1" applyFill="1" applyAlignment="1" applyProtection="1">
      <alignment/>
      <protection locked="0"/>
    </xf>
    <xf numFmtId="0" fontId="0" fillId="54" borderId="0" xfId="0" applyFont="1" applyFill="1" applyAlignment="1" applyProtection="1">
      <alignment/>
      <protection locked="0"/>
    </xf>
    <xf numFmtId="4" fontId="0" fillId="52" borderId="0" xfId="0" applyNumberFormat="1" applyFont="1" applyFill="1" applyBorder="1" applyAlignment="1" applyProtection="1">
      <alignment vertical="top"/>
      <protection locked="0"/>
    </xf>
    <xf numFmtId="4" fontId="0" fillId="0" borderId="44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/>
      <protection locked="0"/>
    </xf>
    <xf numFmtId="4" fontId="0" fillId="52" borderId="0" xfId="0" applyNumberFormat="1" applyFont="1" applyFill="1" applyAlignment="1" applyProtection="1">
      <alignment vertical="top"/>
      <protection locked="0"/>
    </xf>
    <xf numFmtId="4" fontId="89" fillId="55" borderId="37" xfId="0" applyNumberFormat="1" applyFont="1" applyFill="1" applyBorder="1" applyAlignment="1" applyProtection="1">
      <alignment horizontal="center" vertical="top" wrapText="1"/>
      <protection locked="0"/>
    </xf>
    <xf numFmtId="183" fontId="89" fillId="55" borderId="37" xfId="95" applyFont="1" applyFill="1" applyBorder="1" applyAlignment="1" applyProtection="1">
      <alignment horizontal="right" vertical="top" wrapText="1"/>
      <protection locked="0"/>
    </xf>
    <xf numFmtId="4" fontId="0" fillId="52" borderId="72" xfId="0" applyNumberFormat="1" applyFont="1" applyFill="1" applyBorder="1" applyAlignment="1" applyProtection="1">
      <alignment vertical="top"/>
      <protection locked="0"/>
    </xf>
    <xf numFmtId="2" fontId="0" fillId="52" borderId="0" xfId="0" applyNumberFormat="1" applyFill="1" applyAlignment="1" applyProtection="1">
      <alignment/>
      <protection locked="0"/>
    </xf>
    <xf numFmtId="4" fontId="0" fillId="52" borderId="37" xfId="107" applyNumberFormat="1" applyFont="1" applyFill="1" applyBorder="1" applyAlignment="1" applyProtection="1">
      <alignment horizontal="right" vertical="top" wrapText="1"/>
      <protection locked="0"/>
    </xf>
    <xf numFmtId="0" fontId="0" fillId="55" borderId="0" xfId="0" applyFill="1" applyAlignment="1" applyProtection="1">
      <alignment/>
      <protection locked="0"/>
    </xf>
    <xf numFmtId="4" fontId="0" fillId="52" borderId="44" xfId="128" applyNumberFormat="1" applyFont="1" applyFill="1" applyBorder="1" applyAlignment="1" applyProtection="1">
      <alignment horizontal="right" vertical="top" wrapText="1"/>
      <protection locked="0"/>
    </xf>
    <xf numFmtId="0" fontId="23" fillId="52" borderId="72" xfId="0" applyFont="1" applyFill="1" applyBorder="1" applyAlignment="1" applyProtection="1">
      <alignment/>
      <protection locked="0"/>
    </xf>
    <xf numFmtId="0" fontId="23" fillId="55" borderId="72" xfId="0" applyFont="1" applyFill="1" applyBorder="1" applyAlignment="1" applyProtection="1">
      <alignment/>
      <protection locked="0"/>
    </xf>
    <xf numFmtId="183" fontId="0" fillId="52" borderId="44" xfId="98" applyFont="1" applyFill="1" applyBorder="1" applyAlignment="1" applyProtection="1">
      <alignment horizontal="right" vertical="top" wrapText="1"/>
      <protection locked="0"/>
    </xf>
    <xf numFmtId="4" fontId="59" fillId="52" borderId="44" xfId="125" applyNumberFormat="1" applyFont="1" applyFill="1" applyBorder="1" applyAlignment="1" applyProtection="1">
      <alignment vertical="top"/>
      <protection locked="0"/>
    </xf>
    <xf numFmtId="4" fontId="0" fillId="52" borderId="44" xfId="125" applyNumberFormat="1" applyFont="1" applyFill="1" applyBorder="1" applyAlignment="1" applyProtection="1">
      <alignment vertical="top"/>
      <protection locked="0"/>
    </xf>
    <xf numFmtId="4" fontId="0" fillId="52" borderId="44" xfId="125" applyNumberFormat="1" applyFont="1" applyFill="1" applyBorder="1" applyAlignment="1" applyProtection="1">
      <alignment vertical="center"/>
      <protection locked="0"/>
    </xf>
    <xf numFmtId="4" fontId="9" fillId="52" borderId="44" xfId="0" applyNumberFormat="1" applyFont="1" applyFill="1" applyBorder="1" applyAlignment="1" applyProtection="1">
      <alignment vertical="top"/>
      <protection locked="0"/>
    </xf>
    <xf numFmtId="0" fontId="5" fillId="52" borderId="0" xfId="0" applyFont="1" applyFill="1" applyAlignment="1" applyProtection="1">
      <alignment horizontal="right"/>
      <protection locked="0"/>
    </xf>
    <xf numFmtId="0" fontId="5" fillId="52" borderId="0" xfId="0" applyFont="1" applyFill="1" applyAlignment="1" applyProtection="1">
      <alignment horizontal="center"/>
      <protection locked="0"/>
    </xf>
    <xf numFmtId="0" fontId="5" fillId="52" borderId="0" xfId="0" applyFont="1" applyFill="1" applyAlignment="1" applyProtection="1">
      <alignment/>
      <protection locked="0"/>
    </xf>
    <xf numFmtId="4" fontId="5" fillId="56" borderId="37" xfId="0" applyNumberFormat="1" applyFont="1" applyFill="1" applyBorder="1" applyAlignment="1" applyProtection="1">
      <alignment vertical="top"/>
      <protection locked="0"/>
    </xf>
    <xf numFmtId="0" fontId="0" fillId="52" borderId="0" xfId="0" applyFill="1" applyAlignment="1" applyProtection="1">
      <alignment horizontal="right"/>
      <protection locked="0"/>
    </xf>
    <xf numFmtId="0" fontId="0" fillId="52" borderId="0" xfId="0" applyFill="1" applyAlignment="1" applyProtection="1">
      <alignment horizontal="center"/>
      <protection locked="0"/>
    </xf>
    <xf numFmtId="186" fontId="0" fillId="52" borderId="0" xfId="0" applyNumberFormat="1" applyFill="1" applyAlignment="1" applyProtection="1">
      <alignment horizontal="center"/>
      <protection locked="0"/>
    </xf>
    <xf numFmtId="184" fontId="0" fillId="0" borderId="44" xfId="0" applyNumberFormat="1" applyFont="1" applyBorder="1" applyAlignment="1" applyProtection="1">
      <alignment vertical="top"/>
      <protection locked="0"/>
    </xf>
    <xf numFmtId="4" fontId="0" fillId="55" borderId="44" xfId="0" applyNumberFormat="1" applyFont="1" applyFill="1" applyBorder="1" applyAlignment="1" applyProtection="1">
      <alignment vertical="top"/>
      <protection locked="0"/>
    </xf>
    <xf numFmtId="4" fontId="0" fillId="52" borderId="44" xfId="0" applyNumberFormat="1" applyFont="1" applyFill="1" applyBorder="1" applyAlignment="1" applyProtection="1">
      <alignment/>
      <protection locked="0"/>
    </xf>
    <xf numFmtId="0" fontId="0" fillId="52" borderId="44" xfId="0" applyFont="1" applyFill="1" applyBorder="1" applyAlignment="1" applyProtection="1">
      <alignment/>
      <protection locked="0"/>
    </xf>
    <xf numFmtId="4" fontId="0" fillId="55" borderId="37" xfId="0" applyNumberFormat="1" applyFont="1" applyFill="1" applyBorder="1" applyAlignment="1" applyProtection="1">
      <alignment/>
      <protection locked="0"/>
    </xf>
    <xf numFmtId="4" fontId="12" fillId="55" borderId="37" xfId="0" applyNumberFormat="1" applyFont="1" applyFill="1" applyBorder="1" applyAlignment="1" applyProtection="1">
      <alignment/>
      <protection locked="0"/>
    </xf>
    <xf numFmtId="0" fontId="0" fillId="52" borderId="0" xfId="0" applyFill="1" applyAlignment="1" applyProtection="1">
      <alignment/>
      <protection locked="0"/>
    </xf>
    <xf numFmtId="4" fontId="12" fillId="52" borderId="44" xfId="0" applyNumberFormat="1" applyFont="1" applyFill="1" applyBorder="1" applyAlignment="1" applyProtection="1">
      <alignment/>
      <protection locked="0"/>
    </xf>
    <xf numFmtId="183" fontId="9" fillId="52" borderId="44" xfId="95" applyFont="1" applyFill="1" applyBorder="1" applyAlignment="1" applyProtection="1">
      <alignment vertical="top"/>
      <protection locked="0"/>
    </xf>
    <xf numFmtId="4" fontId="5" fillId="52" borderId="44" xfId="0" applyNumberFormat="1" applyFont="1" applyFill="1" applyBorder="1" applyAlignment="1" applyProtection="1">
      <alignment/>
      <protection locked="0"/>
    </xf>
    <xf numFmtId="183" fontId="12" fillId="52" borderId="44" xfId="95" applyFont="1" applyFill="1" applyBorder="1" applyAlignment="1" applyProtection="1">
      <alignment vertical="top"/>
      <protection locked="0"/>
    </xf>
    <xf numFmtId="4" fontId="5" fillId="55" borderId="44" xfId="0" applyNumberFormat="1" applyFont="1" applyFill="1" applyBorder="1" applyAlignment="1" applyProtection="1">
      <alignment/>
      <protection locked="0"/>
    </xf>
    <xf numFmtId="183" fontId="12" fillId="55" borderId="44" xfId="95" applyFont="1" applyFill="1" applyBorder="1" applyAlignment="1" applyProtection="1">
      <alignment vertical="top"/>
      <protection locked="0"/>
    </xf>
    <xf numFmtId="0" fontId="5" fillId="55" borderId="37" xfId="0" applyFont="1" applyFill="1" applyBorder="1" applyAlignment="1" applyProtection="1">
      <alignment/>
      <protection locked="0"/>
    </xf>
    <xf numFmtId="183" fontId="12" fillId="55" borderId="37" xfId="95" applyFont="1" applyFill="1" applyBorder="1" applyAlignment="1" applyProtection="1">
      <alignment vertical="top"/>
      <protection locked="0"/>
    </xf>
    <xf numFmtId="0" fontId="0" fillId="52" borderId="0" xfId="0" applyFont="1" applyFill="1" applyBorder="1" applyAlignment="1" applyProtection="1">
      <alignment horizontal="center" vertical="top"/>
      <protection locked="0"/>
    </xf>
    <xf numFmtId="0" fontId="0" fillId="52" borderId="0" xfId="0" applyFont="1" applyFill="1" applyBorder="1" applyAlignment="1" applyProtection="1">
      <alignment/>
      <protection locked="0"/>
    </xf>
    <xf numFmtId="0" fontId="0" fillId="52" borderId="0" xfId="0" applyFont="1" applyFill="1" applyBorder="1" applyAlignment="1" applyProtection="1">
      <alignment vertical="top"/>
      <protection locked="0"/>
    </xf>
    <xf numFmtId="0" fontId="0" fillId="52" borderId="0" xfId="0" applyFont="1" applyFill="1" applyAlignment="1" applyProtection="1">
      <alignment vertical="top"/>
      <protection locked="0"/>
    </xf>
    <xf numFmtId="4" fontId="0" fillId="52" borderId="0" xfId="0" applyNumberFormat="1" applyFont="1" applyFill="1" applyAlignment="1" applyProtection="1">
      <alignment/>
      <protection locked="0"/>
    </xf>
    <xf numFmtId="0" fontId="0" fillId="52" borderId="0" xfId="0" applyFont="1" applyFill="1" applyAlignment="1" applyProtection="1">
      <alignment/>
      <protection locked="0"/>
    </xf>
    <xf numFmtId="0" fontId="5" fillId="52" borderId="44" xfId="0" applyFont="1" applyFill="1" applyBorder="1" applyAlignment="1" applyProtection="1">
      <alignment horizontal="center" vertical="center" wrapText="1"/>
      <protection/>
    </xf>
    <xf numFmtId="0" fontId="5" fillId="52" borderId="44" xfId="0" applyNumberFormat="1" applyFont="1" applyFill="1" applyBorder="1" applyAlignment="1" applyProtection="1">
      <alignment wrapText="1"/>
      <protection/>
    </xf>
    <xf numFmtId="4" fontId="0" fillId="52" borderId="44" xfId="0" applyNumberFormat="1" applyFont="1" applyFill="1" applyBorder="1" applyAlignment="1" applyProtection="1">
      <alignment vertical="center"/>
      <protection/>
    </xf>
    <xf numFmtId="43" fontId="0" fillId="52" borderId="44" xfId="0" applyNumberFormat="1" applyFont="1" applyFill="1" applyBorder="1" applyAlignment="1" applyProtection="1">
      <alignment horizontal="center"/>
      <protection/>
    </xf>
    <xf numFmtId="0" fontId="5" fillId="52" borderId="69" xfId="0" applyFont="1" applyFill="1" applyBorder="1" applyAlignment="1" applyProtection="1">
      <alignment horizontal="center" vertical="center" wrapText="1"/>
      <protection/>
    </xf>
    <xf numFmtId="0" fontId="0" fillId="52" borderId="44" xfId="0" applyNumberFormat="1" applyFont="1" applyFill="1" applyBorder="1" applyAlignment="1" applyProtection="1">
      <alignment vertical="center" wrapText="1"/>
      <protection/>
    </xf>
    <xf numFmtId="4" fontId="0" fillId="52" borderId="70" xfId="0" applyNumberFormat="1" applyFont="1" applyFill="1" applyBorder="1" applyAlignment="1" applyProtection="1">
      <alignment vertical="center"/>
      <protection/>
    </xf>
    <xf numFmtId="0" fontId="0" fillId="52" borderId="69" xfId="0" applyFont="1" applyFill="1" applyBorder="1" applyAlignment="1" applyProtection="1">
      <alignment vertical="top" wrapText="1"/>
      <protection/>
    </xf>
    <xf numFmtId="0" fontId="59" fillId="52" borderId="44" xfId="0" applyNumberFormat="1" applyFont="1" applyFill="1" applyBorder="1" applyAlignment="1" applyProtection="1">
      <alignment vertical="top" wrapText="1"/>
      <protection/>
    </xf>
    <xf numFmtId="4" fontId="0" fillId="52" borderId="70" xfId="0" applyNumberFormat="1" applyFont="1" applyFill="1" applyBorder="1" applyAlignment="1" applyProtection="1">
      <alignment vertical="top"/>
      <protection/>
    </xf>
    <xf numFmtId="4" fontId="0" fillId="52" borderId="44" xfId="0" applyNumberFormat="1" applyFont="1" applyFill="1" applyBorder="1" applyAlignment="1" applyProtection="1">
      <alignment horizontal="center" vertical="top"/>
      <protection/>
    </xf>
    <xf numFmtId="0" fontId="12" fillId="52" borderId="69" xfId="0" applyFont="1" applyFill="1" applyBorder="1" applyAlignment="1" applyProtection="1">
      <alignment horizontal="center" vertical="top" wrapText="1"/>
      <protection/>
    </xf>
    <xf numFmtId="0" fontId="100" fillId="52" borderId="44" xfId="0" applyNumberFormat="1" applyFont="1" applyFill="1" applyBorder="1" applyAlignment="1" applyProtection="1">
      <alignment vertical="top" wrapText="1"/>
      <protection/>
    </xf>
    <xf numFmtId="4" fontId="100" fillId="52" borderId="70" xfId="0" applyNumberFormat="1" applyFont="1" applyFill="1" applyBorder="1" applyAlignment="1" applyProtection="1">
      <alignment vertical="top"/>
      <protection/>
    </xf>
    <xf numFmtId="43" fontId="100" fillId="52" borderId="44" xfId="0" applyNumberFormat="1" applyFont="1" applyFill="1" applyBorder="1" applyAlignment="1" applyProtection="1">
      <alignment horizontal="center" vertical="top"/>
      <protection/>
    </xf>
    <xf numFmtId="4" fontId="5" fillId="52" borderId="44" xfId="0" applyNumberFormat="1" applyFont="1" applyFill="1" applyBorder="1" applyAlignment="1" applyProtection="1">
      <alignment vertical="top"/>
      <protection/>
    </xf>
    <xf numFmtId="0" fontId="59" fillId="57" borderId="44" xfId="0" applyFont="1" applyFill="1" applyBorder="1" applyAlignment="1" applyProtection="1">
      <alignment vertical="center"/>
      <protection/>
    </xf>
    <xf numFmtId="0" fontId="5" fillId="52" borderId="69" xfId="0" applyFont="1" applyFill="1" applyBorder="1" applyAlignment="1" applyProtection="1">
      <alignment vertical="top" wrapText="1"/>
      <protection/>
    </xf>
    <xf numFmtId="0" fontId="5" fillId="52" borderId="44" xfId="0" applyNumberFormat="1" applyFont="1" applyFill="1" applyBorder="1" applyAlignment="1" applyProtection="1">
      <alignment vertical="top" wrapText="1"/>
      <protection/>
    </xf>
    <xf numFmtId="0" fontId="0" fillId="52" borderId="69" xfId="0" applyFont="1" applyFill="1" applyBorder="1" applyAlignment="1" applyProtection="1">
      <alignment horizontal="right" vertical="top" wrapText="1"/>
      <protection/>
    </xf>
    <xf numFmtId="0" fontId="59" fillId="57" borderId="44" xfId="0" applyFont="1" applyFill="1" applyBorder="1" applyAlignment="1" applyProtection="1">
      <alignment vertical="center" wrapText="1"/>
      <protection/>
    </xf>
    <xf numFmtId="0" fontId="9" fillId="52" borderId="69" xfId="0" applyFont="1" applyFill="1" applyBorder="1" applyAlignment="1" applyProtection="1">
      <alignment vertical="top" wrapText="1"/>
      <protection/>
    </xf>
    <xf numFmtId="4" fontId="100" fillId="52" borderId="44" xfId="0" applyNumberFormat="1" applyFont="1" applyFill="1" applyBorder="1" applyAlignment="1" applyProtection="1">
      <alignment horizontal="center" vertical="top"/>
      <protection/>
    </xf>
    <xf numFmtId="0" fontId="59" fillId="0" borderId="44" xfId="0" applyFont="1" applyBorder="1" applyAlignment="1" applyProtection="1">
      <alignment horizontal="justify" vertical="center"/>
      <protection/>
    </xf>
    <xf numFmtId="0" fontId="0" fillId="52" borderId="44" xfId="0" applyNumberFormat="1" applyFont="1" applyFill="1" applyBorder="1" applyAlignment="1" applyProtection="1">
      <alignment vertical="top" wrapText="1"/>
      <protection/>
    </xf>
    <xf numFmtId="0" fontId="5" fillId="52" borderId="69" xfId="0" applyFont="1" applyFill="1" applyBorder="1" applyAlignment="1" applyProtection="1">
      <alignment horizontal="center" vertical="top" wrapText="1"/>
      <protection/>
    </xf>
    <xf numFmtId="43" fontId="0" fillId="52" borderId="44" xfId="0" applyNumberFormat="1" applyFont="1" applyFill="1" applyBorder="1" applyAlignment="1" applyProtection="1">
      <alignment horizontal="center" vertical="top"/>
      <protection/>
    </xf>
    <xf numFmtId="0" fontId="5" fillId="52" borderId="69" xfId="0" applyFont="1" applyFill="1" applyBorder="1" applyAlignment="1" applyProtection="1">
      <alignment horizontal="right" vertical="top" wrapText="1"/>
      <protection/>
    </xf>
    <xf numFmtId="4" fontId="59" fillId="52" borderId="44" xfId="0" applyNumberFormat="1" applyFont="1" applyFill="1" applyBorder="1" applyAlignment="1" applyProtection="1">
      <alignment vertical="top" wrapText="1"/>
      <protection/>
    </xf>
    <xf numFmtId="4" fontId="100" fillId="52" borderId="44" xfId="0" applyNumberFormat="1" applyFont="1" applyFill="1" applyBorder="1" applyAlignment="1" applyProtection="1">
      <alignment vertical="top" wrapText="1"/>
      <protection/>
    </xf>
    <xf numFmtId="0" fontId="59" fillId="52" borderId="44" xfId="0" applyFont="1" applyFill="1" applyBorder="1" applyAlignment="1" applyProtection="1">
      <alignment vertical="center" wrapText="1"/>
      <protection/>
    </xf>
    <xf numFmtId="0" fontId="0" fillId="52" borderId="63" xfId="0" applyFont="1" applyFill="1" applyBorder="1" applyAlignment="1" applyProtection="1">
      <alignment horizontal="right" vertical="top" wrapText="1"/>
      <protection/>
    </xf>
    <xf numFmtId="0" fontId="59" fillId="57" borderId="37" xfId="0" applyFont="1" applyFill="1" applyBorder="1" applyAlignment="1" applyProtection="1">
      <alignment vertical="center" wrapText="1"/>
      <protection/>
    </xf>
    <xf numFmtId="4" fontId="0" fillId="52" borderId="71" xfId="0" applyNumberFormat="1" applyFont="1" applyFill="1" applyBorder="1" applyAlignment="1" applyProtection="1">
      <alignment vertical="top"/>
      <protection/>
    </xf>
    <xf numFmtId="43" fontId="0" fillId="52" borderId="37" xfId="0" applyNumberFormat="1" applyFont="1" applyFill="1" applyBorder="1" applyAlignment="1" applyProtection="1">
      <alignment horizontal="center" vertical="top"/>
      <protection/>
    </xf>
    <xf numFmtId="0" fontId="9" fillId="52" borderId="69" xfId="0" applyFont="1" applyFill="1" applyBorder="1" applyAlignment="1" applyProtection="1">
      <alignment horizontal="right" vertical="top" wrapText="1"/>
      <protection/>
    </xf>
    <xf numFmtId="1" fontId="5" fillId="52" borderId="69" xfId="0" applyNumberFormat="1" applyFont="1" applyFill="1" applyBorder="1" applyAlignment="1" applyProtection="1">
      <alignment vertical="top" wrapText="1"/>
      <protection/>
    </xf>
    <xf numFmtId="0" fontId="5" fillId="52" borderId="44" xfId="0" applyFont="1" applyFill="1" applyBorder="1" applyAlignment="1" applyProtection="1">
      <alignment vertical="top"/>
      <protection/>
    </xf>
    <xf numFmtId="4" fontId="5" fillId="52" borderId="70" xfId="0" applyNumberFormat="1" applyFont="1" applyFill="1" applyBorder="1" applyAlignment="1" applyProtection="1">
      <alignment vertical="top"/>
      <protection/>
    </xf>
    <xf numFmtId="192" fontId="0" fillId="52" borderId="69" xfId="0" applyNumberFormat="1" applyFont="1" applyFill="1" applyBorder="1" applyAlignment="1" applyProtection="1">
      <alignment horizontal="right" vertical="top" wrapText="1"/>
      <protection/>
    </xf>
    <xf numFmtId="192" fontId="9" fillId="52" borderId="44" xfId="0" applyNumberFormat="1" applyFont="1" applyFill="1" applyBorder="1" applyAlignment="1" applyProtection="1">
      <alignment horizontal="right" vertical="top" wrapText="1"/>
      <protection/>
    </xf>
    <xf numFmtId="0" fontId="101" fillId="52" borderId="44" xfId="0" applyFont="1" applyFill="1" applyBorder="1" applyAlignment="1" applyProtection="1">
      <alignment vertical="top" wrapText="1"/>
      <protection/>
    </xf>
    <xf numFmtId="4" fontId="100" fillId="52" borderId="44" xfId="0" applyNumberFormat="1" applyFont="1" applyFill="1" applyBorder="1" applyAlignment="1" applyProtection="1">
      <alignment vertical="top"/>
      <protection/>
    </xf>
    <xf numFmtId="1" fontId="0" fillId="52" borderId="44" xfId="0" applyNumberFormat="1" applyFont="1" applyFill="1" applyBorder="1" applyAlignment="1" applyProtection="1">
      <alignment horizontal="right" vertical="top" wrapText="1"/>
      <protection/>
    </xf>
    <xf numFmtId="4" fontId="0" fillId="52" borderId="44" xfId="0" applyNumberFormat="1" applyFont="1" applyFill="1" applyBorder="1" applyAlignment="1" applyProtection="1">
      <alignment vertical="top"/>
      <protection/>
    </xf>
    <xf numFmtId="0" fontId="12" fillId="55" borderId="44" xfId="0" applyFont="1" applyFill="1" applyBorder="1" applyAlignment="1" applyProtection="1">
      <alignment horizontal="center" vertical="top" wrapText="1"/>
      <protection/>
    </xf>
    <xf numFmtId="0" fontId="5" fillId="55" borderId="44" xfId="0" applyFont="1" applyFill="1" applyBorder="1" applyAlignment="1" applyProtection="1">
      <alignment horizontal="center" vertical="top"/>
      <protection/>
    </xf>
    <xf numFmtId="4" fontId="100" fillId="55" borderId="44" xfId="0" applyNumberFormat="1" applyFont="1" applyFill="1" applyBorder="1" applyAlignment="1" applyProtection="1">
      <alignment vertical="top"/>
      <protection/>
    </xf>
    <xf numFmtId="43" fontId="100" fillId="55" borderId="44" xfId="0" applyNumberFormat="1" applyFont="1" applyFill="1" applyBorder="1" applyAlignment="1" applyProtection="1">
      <alignment horizontal="center" vertical="top"/>
      <protection/>
    </xf>
    <xf numFmtId="0" fontId="12" fillId="52" borderId="44" xfId="0" applyFont="1" applyFill="1" applyBorder="1" applyAlignment="1" applyProtection="1">
      <alignment horizontal="center" vertical="top" wrapText="1"/>
      <protection/>
    </xf>
    <xf numFmtId="0" fontId="5" fillId="52" borderId="44" xfId="0" applyFont="1" applyFill="1" applyBorder="1" applyAlignment="1" applyProtection="1">
      <alignment horizontal="center" vertical="top" wrapText="1"/>
      <protection/>
    </xf>
    <xf numFmtId="0" fontId="0" fillId="52" borderId="44" xfId="0" applyFont="1" applyFill="1" applyBorder="1" applyAlignment="1" applyProtection="1">
      <alignment vertical="top" wrapText="1"/>
      <protection/>
    </xf>
    <xf numFmtId="0" fontId="5" fillId="52" borderId="44" xfId="0" applyFont="1" applyFill="1" applyBorder="1" applyAlignment="1" applyProtection="1">
      <alignment vertical="top" wrapText="1"/>
      <protection/>
    </xf>
    <xf numFmtId="0" fontId="0" fillId="52" borderId="44" xfId="0" applyFont="1" applyFill="1" applyBorder="1" applyAlignment="1" applyProtection="1">
      <alignment horizontal="right" vertical="top"/>
      <protection/>
    </xf>
    <xf numFmtId="0" fontId="89" fillId="52" borderId="44" xfId="0" applyFont="1" applyFill="1" applyBorder="1" applyAlignment="1" applyProtection="1">
      <alignment horizontal="right" vertical="top"/>
      <protection/>
    </xf>
    <xf numFmtId="0" fontId="102" fillId="57" borderId="44" xfId="0" applyFont="1" applyFill="1" applyBorder="1" applyAlignment="1" applyProtection="1">
      <alignment vertical="center" wrapText="1"/>
      <protection/>
    </xf>
    <xf numFmtId="4" fontId="89" fillId="52" borderId="44" xfId="0" applyNumberFormat="1" applyFont="1" applyFill="1" applyBorder="1" applyAlignment="1" applyProtection="1">
      <alignment vertical="top"/>
      <protection/>
    </xf>
    <xf numFmtId="4" fontId="89" fillId="52" borderId="44" xfId="0" applyNumberFormat="1" applyFont="1" applyFill="1" applyBorder="1" applyAlignment="1" applyProtection="1">
      <alignment horizontal="center" vertical="top"/>
      <protection/>
    </xf>
    <xf numFmtId="0" fontId="9" fillId="52" borderId="44" xfId="0" applyFont="1" applyFill="1" applyBorder="1" applyAlignment="1" applyProtection="1">
      <alignment vertical="top" wrapText="1"/>
      <protection/>
    </xf>
    <xf numFmtId="0" fontId="12" fillId="52" borderId="69" xfId="0" applyFont="1" applyFill="1" applyBorder="1" applyAlignment="1" applyProtection="1">
      <alignment vertical="top" wrapText="1"/>
      <protection/>
    </xf>
    <xf numFmtId="0" fontId="0" fillId="52" borderId="63" xfId="0" applyFont="1" applyFill="1" applyBorder="1" applyAlignment="1" applyProtection="1">
      <alignment vertical="top" wrapText="1"/>
      <protection/>
    </xf>
    <xf numFmtId="0" fontId="59" fillId="52" borderId="37" xfId="0" applyNumberFormat="1" applyFont="1" applyFill="1" applyBorder="1" applyAlignment="1" applyProtection="1">
      <alignment vertical="top" wrapText="1"/>
      <protection/>
    </xf>
    <xf numFmtId="4" fontId="0" fillId="52" borderId="37" xfId="0" applyNumberFormat="1" applyFont="1" applyFill="1" applyBorder="1" applyAlignment="1" applyProtection="1">
      <alignment horizontal="center" vertical="top"/>
      <protection/>
    </xf>
    <xf numFmtId="0" fontId="12" fillId="52" borderId="69" xfId="0" applyFont="1" applyFill="1" applyBorder="1" applyAlignment="1" applyProtection="1">
      <alignment horizontal="right" vertical="top" wrapText="1"/>
      <protection/>
    </xf>
    <xf numFmtId="0" fontId="89" fillId="52" borderId="69" xfId="0" applyFont="1" applyFill="1" applyBorder="1" applyAlignment="1" applyProtection="1">
      <alignment horizontal="right" vertical="top" wrapText="1"/>
      <protection/>
    </xf>
    <xf numFmtId="4" fontId="102" fillId="52" borderId="44" xfId="0" applyNumberFormat="1" applyFont="1" applyFill="1" applyBorder="1" applyAlignment="1" applyProtection="1">
      <alignment vertical="top" wrapText="1"/>
      <protection/>
    </xf>
    <xf numFmtId="4" fontId="89" fillId="52" borderId="70" xfId="0" applyNumberFormat="1" applyFont="1" applyFill="1" applyBorder="1" applyAlignment="1" applyProtection="1">
      <alignment vertical="top"/>
      <protection/>
    </xf>
    <xf numFmtId="43" fontId="89" fillId="52" borderId="44" xfId="0" applyNumberFormat="1" applyFont="1" applyFill="1" applyBorder="1" applyAlignment="1" applyProtection="1">
      <alignment horizontal="center" vertical="top"/>
      <protection/>
    </xf>
    <xf numFmtId="0" fontId="89" fillId="52" borderId="69" xfId="0" applyFont="1" applyFill="1" applyBorder="1" applyAlignment="1" applyProtection="1">
      <alignment vertical="top" wrapText="1"/>
      <protection/>
    </xf>
    <xf numFmtId="0" fontId="102" fillId="52" borderId="44" xfId="0" applyFont="1" applyFill="1" applyBorder="1" applyAlignment="1" applyProtection="1">
      <alignment vertical="center" wrapText="1"/>
      <protection/>
    </xf>
    <xf numFmtId="4" fontId="89" fillId="52" borderId="0" xfId="0" applyNumberFormat="1" applyFont="1" applyFill="1" applyBorder="1" applyAlignment="1" applyProtection="1">
      <alignment vertical="top"/>
      <protection/>
    </xf>
    <xf numFmtId="0" fontId="59" fillId="52" borderId="44" xfId="0" applyFont="1" applyFill="1" applyBorder="1" applyAlignment="1" applyProtection="1">
      <alignment vertical="top" wrapText="1"/>
      <protection/>
    </xf>
    <xf numFmtId="1" fontId="0" fillId="52" borderId="69" xfId="0" applyNumberFormat="1" applyFont="1" applyFill="1" applyBorder="1" applyAlignment="1" applyProtection="1">
      <alignment horizontal="right" vertical="top" wrapText="1"/>
      <protection/>
    </xf>
    <xf numFmtId="0" fontId="0" fillId="52" borderId="44" xfId="0" applyFont="1" applyFill="1" applyBorder="1" applyAlignment="1" applyProtection="1">
      <alignment horizontal="right" vertical="top" wrapText="1"/>
      <protection/>
    </xf>
    <xf numFmtId="0" fontId="0" fillId="52" borderId="37" xfId="0" applyFont="1" applyFill="1" applyBorder="1" applyAlignment="1" applyProtection="1">
      <alignment horizontal="right" vertical="top" wrapText="1"/>
      <protection/>
    </xf>
    <xf numFmtId="4" fontId="0" fillId="52" borderId="37" xfId="0" applyNumberFormat="1" applyFont="1" applyFill="1" applyBorder="1" applyAlignment="1" applyProtection="1">
      <alignment vertical="top"/>
      <protection/>
    </xf>
    <xf numFmtId="0" fontId="5" fillId="52" borderId="44" xfId="0" applyFont="1" applyFill="1" applyBorder="1" applyAlignment="1" applyProtection="1">
      <alignment horizontal="right" vertical="top" wrapText="1"/>
      <protection/>
    </xf>
    <xf numFmtId="0" fontId="12" fillId="52" borderId="44" xfId="0" applyFont="1" applyFill="1" applyBorder="1" applyAlignment="1" applyProtection="1">
      <alignment horizontal="right" vertical="top" wrapText="1"/>
      <protection/>
    </xf>
    <xf numFmtId="0" fontId="12" fillId="52" borderId="44" xfId="0" applyFont="1" applyFill="1" applyBorder="1" applyAlignment="1" applyProtection="1">
      <alignment vertical="top" wrapText="1"/>
      <protection/>
    </xf>
    <xf numFmtId="0" fontId="99" fillId="52" borderId="44" xfId="0" applyNumberFormat="1" applyFont="1" applyFill="1" applyBorder="1" applyAlignment="1" applyProtection="1">
      <alignment vertical="top" wrapText="1"/>
      <protection/>
    </xf>
    <xf numFmtId="192" fontId="0" fillId="52" borderId="44" xfId="0" applyNumberFormat="1" applyFont="1" applyFill="1" applyBorder="1" applyAlignment="1" applyProtection="1">
      <alignment vertical="top" wrapText="1"/>
      <protection/>
    </xf>
    <xf numFmtId="2" fontId="9" fillId="52" borderId="44" xfId="0" applyNumberFormat="1" applyFont="1" applyFill="1" applyBorder="1" applyAlignment="1" applyProtection="1">
      <alignment horizontal="right" vertical="top" wrapText="1"/>
      <protection/>
    </xf>
    <xf numFmtId="0" fontId="101" fillId="52" borderId="44" xfId="0" applyFont="1" applyFill="1" applyBorder="1" applyAlignment="1" applyProtection="1">
      <alignment horizontal="left" vertical="top"/>
      <protection/>
    </xf>
    <xf numFmtId="184" fontId="100" fillId="52" borderId="44" xfId="0" applyNumberFormat="1" applyFont="1" applyFill="1" applyBorder="1" applyAlignment="1" applyProtection="1">
      <alignment horizontal="center" vertical="top" wrapText="1"/>
      <protection/>
    </xf>
    <xf numFmtId="1" fontId="5" fillId="52" borderId="44" xfId="0" applyNumberFormat="1" applyFont="1" applyFill="1" applyBorder="1" applyAlignment="1" applyProtection="1">
      <alignment vertical="top" wrapText="1"/>
      <protection/>
    </xf>
    <xf numFmtId="192" fontId="0" fillId="52" borderId="44" xfId="0" applyNumberFormat="1" applyFont="1" applyFill="1" applyBorder="1" applyAlignment="1" applyProtection="1">
      <alignment horizontal="right" vertical="top" wrapText="1"/>
      <protection/>
    </xf>
    <xf numFmtId="0" fontId="12" fillId="55" borderId="37" xfId="0" applyFont="1" applyFill="1" applyBorder="1" applyAlignment="1" applyProtection="1">
      <alignment horizontal="center" vertical="top" wrapText="1"/>
      <protection/>
    </xf>
    <xf numFmtId="0" fontId="99" fillId="55" borderId="37" xfId="0" applyFont="1" applyFill="1" applyBorder="1" applyAlignment="1" applyProtection="1">
      <alignment horizontal="center" vertical="top"/>
      <protection/>
    </xf>
    <xf numFmtId="4" fontId="100" fillId="55" borderId="37" xfId="0" applyNumberFormat="1" applyFont="1" applyFill="1" applyBorder="1" applyAlignment="1" applyProtection="1">
      <alignment vertical="top"/>
      <protection/>
    </xf>
    <xf numFmtId="43" fontId="100" fillId="55" borderId="37" xfId="0" applyNumberFormat="1" applyFont="1" applyFill="1" applyBorder="1" applyAlignment="1" applyProtection="1">
      <alignment horizontal="center" vertical="top"/>
      <protection/>
    </xf>
    <xf numFmtId="0" fontId="89" fillId="52" borderId="44" xfId="0" applyFont="1" applyFill="1" applyBorder="1" applyAlignment="1" applyProtection="1">
      <alignment vertical="top" wrapText="1"/>
      <protection/>
    </xf>
    <xf numFmtId="0" fontId="102" fillId="52" borderId="44" xfId="0" applyNumberFormat="1" applyFont="1" applyFill="1" applyBorder="1" applyAlignment="1" applyProtection="1">
      <alignment vertical="top" wrapText="1"/>
      <protection/>
    </xf>
    <xf numFmtId="0" fontId="99" fillId="52" borderId="44" xfId="0" applyFont="1" applyFill="1" applyBorder="1" applyAlignment="1" applyProtection="1">
      <alignment horizontal="center" vertical="top" wrapText="1"/>
      <protection/>
    </xf>
    <xf numFmtId="0" fontId="89" fillId="52" borderId="44" xfId="0" applyNumberFormat="1" applyFont="1" applyFill="1" applyBorder="1" applyAlignment="1" applyProtection="1">
      <alignment vertical="top" wrapText="1"/>
      <protection/>
    </xf>
    <xf numFmtId="0" fontId="99" fillId="52" borderId="44" xfId="0" applyFont="1" applyFill="1" applyBorder="1" applyAlignment="1" applyProtection="1">
      <alignment vertical="top" wrapText="1"/>
      <protection/>
    </xf>
    <xf numFmtId="0" fontId="89" fillId="52" borderId="44" xfId="0" applyFont="1" applyFill="1" applyBorder="1" applyAlignment="1" applyProtection="1">
      <alignment horizontal="right" vertical="top" wrapText="1"/>
      <protection/>
    </xf>
    <xf numFmtId="0" fontId="102" fillId="57" borderId="44" xfId="0" applyFont="1" applyFill="1" applyBorder="1" applyAlignment="1" applyProtection="1">
      <alignment vertical="center"/>
      <protection/>
    </xf>
    <xf numFmtId="0" fontId="99" fillId="52" borderId="44" xfId="0" applyFont="1" applyFill="1" applyBorder="1" applyAlignment="1" applyProtection="1">
      <alignment horizontal="right" vertical="top" wrapText="1"/>
      <protection/>
    </xf>
    <xf numFmtId="2" fontId="9" fillId="52" borderId="44" xfId="0" applyNumberFormat="1" applyFont="1" applyFill="1" applyBorder="1" applyAlignment="1" applyProtection="1">
      <alignment vertical="top" wrapText="1"/>
      <protection/>
    </xf>
    <xf numFmtId="0" fontId="101" fillId="52" borderId="44" xfId="0" applyNumberFormat="1" applyFont="1" applyFill="1" applyBorder="1" applyAlignment="1" applyProtection="1">
      <alignment vertical="top" wrapText="1"/>
      <protection/>
    </xf>
    <xf numFmtId="0" fontId="102" fillId="0" borderId="44" xfId="0" applyFont="1" applyBorder="1" applyAlignment="1" applyProtection="1">
      <alignment horizontal="justify" vertical="center"/>
      <protection/>
    </xf>
    <xf numFmtId="4" fontId="89" fillId="52" borderId="69" xfId="0" applyNumberFormat="1" applyFont="1" applyFill="1" applyBorder="1" applyAlignment="1" applyProtection="1">
      <alignment vertical="top"/>
      <protection/>
    </xf>
    <xf numFmtId="0" fontId="0" fillId="55" borderId="63" xfId="0" applyFont="1" applyFill="1" applyBorder="1" applyAlignment="1" applyProtection="1">
      <alignment vertical="top"/>
      <protection/>
    </xf>
    <xf numFmtId="4" fontId="100" fillId="55" borderId="63" xfId="0" applyNumberFormat="1" applyFont="1" applyFill="1" applyBorder="1" applyAlignment="1" applyProtection="1">
      <alignment vertical="top"/>
      <protection/>
    </xf>
    <xf numFmtId="0" fontId="100" fillId="55" borderId="37" xfId="0" applyFont="1" applyFill="1" applyBorder="1" applyAlignment="1" applyProtection="1">
      <alignment vertical="top"/>
      <protection/>
    </xf>
    <xf numFmtId="0" fontId="0" fillId="52" borderId="69" xfId="0" applyFont="1" applyFill="1" applyBorder="1" applyAlignment="1" applyProtection="1">
      <alignment vertical="top"/>
      <protection/>
    </xf>
    <xf numFmtId="0" fontId="100" fillId="52" borderId="44" xfId="0" applyFont="1" applyFill="1" applyBorder="1" applyAlignment="1" applyProtection="1">
      <alignment vertical="top"/>
      <protection/>
    </xf>
    <xf numFmtId="4" fontId="100" fillId="52" borderId="69" xfId="0" applyNumberFormat="1" applyFont="1" applyFill="1" applyBorder="1" applyAlignment="1" applyProtection="1">
      <alignment vertical="top"/>
      <protection/>
    </xf>
    <xf numFmtId="0" fontId="99" fillId="52" borderId="69" xfId="0" applyFont="1" applyFill="1" applyBorder="1" applyAlignment="1" applyProtection="1">
      <alignment horizontal="center" vertical="top" wrapText="1"/>
      <protection/>
    </xf>
    <xf numFmtId="0" fontId="99" fillId="52" borderId="69" xfId="0" applyFont="1" applyFill="1" applyBorder="1" applyAlignment="1" applyProtection="1">
      <alignment vertical="top" wrapText="1"/>
      <protection/>
    </xf>
    <xf numFmtId="0" fontId="99" fillId="52" borderId="69" xfId="0" applyFont="1" applyFill="1" applyBorder="1" applyAlignment="1" applyProtection="1">
      <alignment horizontal="right" vertical="top" wrapText="1"/>
      <protection/>
    </xf>
    <xf numFmtId="192" fontId="0" fillId="52" borderId="69" xfId="0" applyNumberFormat="1" applyFont="1" applyFill="1" applyBorder="1" applyAlignment="1" applyProtection="1">
      <alignment vertical="top" wrapText="1"/>
      <protection/>
    </xf>
    <xf numFmtId="2" fontId="0" fillId="52" borderId="69" xfId="0" applyNumberFormat="1" applyFont="1" applyFill="1" applyBorder="1" applyAlignment="1" applyProtection="1">
      <alignment vertical="top" wrapText="1"/>
      <protection/>
    </xf>
    <xf numFmtId="2" fontId="9" fillId="52" borderId="69" xfId="0" applyNumberFormat="1" applyFont="1" applyFill="1" applyBorder="1" applyAlignment="1" applyProtection="1">
      <alignment horizontal="right" vertical="top" wrapText="1"/>
      <protection/>
    </xf>
    <xf numFmtId="2" fontId="9" fillId="52" borderId="69" xfId="0" applyNumberFormat="1" applyFont="1" applyFill="1" applyBorder="1" applyAlignment="1" applyProtection="1">
      <alignment vertical="top" wrapText="1"/>
      <protection/>
    </xf>
    <xf numFmtId="2" fontId="9" fillId="52" borderId="63" xfId="0" applyNumberFormat="1" applyFont="1" applyFill="1" applyBorder="1" applyAlignment="1" applyProtection="1">
      <alignment horizontal="right" vertical="top" wrapText="1"/>
      <protection/>
    </xf>
    <xf numFmtId="4" fontId="59" fillId="52" borderId="37" xfId="0" applyNumberFormat="1" applyFont="1" applyFill="1" applyBorder="1" applyAlignment="1" applyProtection="1">
      <alignment vertical="top" wrapText="1"/>
      <protection/>
    </xf>
    <xf numFmtId="0" fontId="0" fillId="52" borderId="0" xfId="0" applyFont="1" applyFill="1" applyAlignment="1" applyProtection="1">
      <alignment horizontal="right" vertical="top"/>
      <protection/>
    </xf>
    <xf numFmtId="0" fontId="9" fillId="0" borderId="69" xfId="0" applyFont="1" applyFill="1" applyBorder="1" applyAlignment="1" applyProtection="1">
      <alignment horizontal="right" vertical="top" wrapText="1"/>
      <protection/>
    </xf>
    <xf numFmtId="0" fontId="59" fillId="0" borderId="44" xfId="0" applyFont="1" applyFill="1" applyBorder="1" applyAlignment="1" applyProtection="1">
      <alignment vertical="center" wrapText="1"/>
      <protection/>
    </xf>
    <xf numFmtId="4" fontId="0" fillId="0" borderId="70" xfId="0" applyNumberFormat="1" applyFont="1" applyFill="1" applyBorder="1" applyAlignment="1" applyProtection="1">
      <alignment vertical="top"/>
      <protection/>
    </xf>
    <xf numFmtId="43" fontId="0" fillId="0" borderId="44" xfId="0" applyNumberFormat="1" applyFont="1" applyFill="1" applyBorder="1" applyAlignment="1" applyProtection="1">
      <alignment horizontal="center" vertical="top"/>
      <protection/>
    </xf>
    <xf numFmtId="2" fontId="0" fillId="52" borderId="0" xfId="0" applyNumberFormat="1" applyFont="1" applyFill="1" applyAlignment="1" applyProtection="1">
      <alignment horizontal="right" vertical="top"/>
      <protection/>
    </xf>
    <xf numFmtId="0" fontId="100" fillId="52" borderId="44" xfId="0" applyFont="1" applyFill="1" applyBorder="1" applyAlignment="1" applyProtection="1">
      <alignment horizontal="left" vertical="top"/>
      <protection/>
    </xf>
    <xf numFmtId="1" fontId="99" fillId="52" borderId="69" xfId="0" applyNumberFormat="1" applyFont="1" applyFill="1" applyBorder="1" applyAlignment="1" applyProtection="1">
      <alignment vertical="top" wrapText="1"/>
      <protection/>
    </xf>
    <xf numFmtId="0" fontId="99" fillId="52" borderId="44" xfId="0" applyFont="1" applyFill="1" applyBorder="1" applyAlignment="1" applyProtection="1">
      <alignment vertical="top"/>
      <protection/>
    </xf>
    <xf numFmtId="4" fontId="99" fillId="52" borderId="70" xfId="0" applyNumberFormat="1" applyFont="1" applyFill="1" applyBorder="1" applyAlignment="1" applyProtection="1">
      <alignment vertical="top"/>
      <protection/>
    </xf>
    <xf numFmtId="192" fontId="89" fillId="52" borderId="69" xfId="0" applyNumberFormat="1" applyFont="1" applyFill="1" applyBorder="1" applyAlignment="1" applyProtection="1">
      <alignment horizontal="right" vertical="top" wrapText="1"/>
      <protection/>
    </xf>
    <xf numFmtId="0" fontId="102" fillId="52" borderId="44" xfId="0" applyFont="1" applyFill="1" applyBorder="1" applyAlignment="1" applyProtection="1">
      <alignment vertical="top" wrapText="1"/>
      <protection/>
    </xf>
    <xf numFmtId="1" fontId="89" fillId="52" borderId="69" xfId="0" applyNumberFormat="1" applyFont="1" applyFill="1" applyBorder="1" applyAlignment="1" applyProtection="1">
      <alignment horizontal="right" vertical="top" wrapText="1"/>
      <protection/>
    </xf>
    <xf numFmtId="0" fontId="89" fillId="55" borderId="63" xfId="0" applyFont="1" applyFill="1" applyBorder="1" applyAlignment="1" applyProtection="1">
      <alignment vertical="top"/>
      <protection/>
    </xf>
    <xf numFmtId="4" fontId="89" fillId="55" borderId="71" xfId="0" applyNumberFormat="1" applyFont="1" applyFill="1" applyBorder="1" applyAlignment="1" applyProtection="1">
      <alignment vertical="top"/>
      <protection/>
    </xf>
    <xf numFmtId="184" fontId="89" fillId="55" borderId="37" xfId="0" applyNumberFormat="1" applyFont="1" applyFill="1" applyBorder="1" applyAlignment="1" applyProtection="1">
      <alignment horizontal="center" vertical="top" wrapText="1"/>
      <protection/>
    </xf>
    <xf numFmtId="0" fontId="89" fillId="52" borderId="63" xfId="0" applyFont="1" applyFill="1" applyBorder="1" applyAlignment="1" applyProtection="1">
      <alignment horizontal="right" vertical="top" wrapText="1"/>
      <protection/>
    </xf>
    <xf numFmtId="0" fontId="102" fillId="57" borderId="37" xfId="0" applyFont="1" applyFill="1" applyBorder="1" applyAlignment="1" applyProtection="1">
      <alignment vertical="center"/>
      <protection/>
    </xf>
    <xf numFmtId="4" fontId="89" fillId="52" borderId="71" xfId="0" applyNumberFormat="1" applyFont="1" applyFill="1" applyBorder="1" applyAlignment="1" applyProtection="1">
      <alignment vertical="top"/>
      <protection/>
    </xf>
    <xf numFmtId="4" fontId="89" fillId="52" borderId="37" xfId="0" applyNumberFormat="1" applyFont="1" applyFill="1" applyBorder="1" applyAlignment="1" applyProtection="1">
      <alignment horizontal="center" vertical="top"/>
      <protection/>
    </xf>
    <xf numFmtId="2" fontId="89" fillId="52" borderId="44" xfId="0" applyNumberFormat="1" applyFont="1" applyFill="1" applyBorder="1" applyAlignment="1" applyProtection="1">
      <alignment vertical="top" wrapText="1"/>
      <protection/>
    </xf>
    <xf numFmtId="2" fontId="0" fillId="52" borderId="44" xfId="0" applyNumberFormat="1" applyFont="1" applyFill="1" applyBorder="1" applyAlignment="1" applyProtection="1">
      <alignment vertical="top" wrapText="1"/>
      <protection/>
    </xf>
    <xf numFmtId="0" fontId="0" fillId="52" borderId="44" xfId="0" applyFont="1" applyFill="1" applyBorder="1" applyAlignment="1" applyProtection="1">
      <alignment vertical="top"/>
      <protection/>
    </xf>
    <xf numFmtId="0" fontId="100" fillId="52" borderId="44" xfId="0" applyFont="1" applyFill="1" applyBorder="1" applyAlignment="1" applyProtection="1">
      <alignment horizontal="center" vertical="top"/>
      <protection/>
    </xf>
    <xf numFmtId="0" fontId="89" fillId="52" borderId="44" xfId="0" applyFont="1" applyFill="1" applyBorder="1" applyAlignment="1" applyProtection="1">
      <alignment vertical="top"/>
      <protection/>
    </xf>
    <xf numFmtId="0" fontId="0" fillId="55" borderId="37" xfId="0" applyFont="1" applyFill="1" applyBorder="1" applyAlignment="1" applyProtection="1">
      <alignment vertical="top"/>
      <protection/>
    </xf>
    <xf numFmtId="0" fontId="5" fillId="55" borderId="37" xfId="0" applyFont="1" applyFill="1" applyBorder="1" applyAlignment="1" applyProtection="1">
      <alignment horizontal="center" vertical="top"/>
      <protection/>
    </xf>
    <xf numFmtId="2" fontId="100" fillId="55" borderId="37" xfId="0" applyNumberFormat="1" applyFont="1" applyFill="1" applyBorder="1" applyAlignment="1" applyProtection="1">
      <alignment vertical="top"/>
      <protection/>
    </xf>
    <xf numFmtId="0" fontId="102" fillId="52" borderId="44" xfId="0" applyFont="1" applyFill="1" applyBorder="1" applyAlignment="1" applyProtection="1">
      <alignment horizontal="right" vertical="top" wrapText="1"/>
      <protection/>
    </xf>
    <xf numFmtId="0" fontId="102" fillId="52" borderId="44" xfId="0" applyFont="1" applyFill="1" applyBorder="1" applyAlignment="1" applyProtection="1">
      <alignment horizontal="left" vertical="top" wrapText="1"/>
      <protection/>
    </xf>
    <xf numFmtId="43" fontId="89" fillId="52" borderId="44" xfId="97" applyFont="1" applyFill="1" applyBorder="1" applyAlignment="1" applyProtection="1">
      <alignment horizontal="right" vertical="top" wrapText="1"/>
      <protection/>
    </xf>
    <xf numFmtId="0" fontId="99" fillId="52" borderId="44" xfId="0" applyFont="1" applyFill="1" applyBorder="1" applyAlignment="1" applyProtection="1">
      <alignment horizontal="left" vertical="top" wrapText="1"/>
      <protection/>
    </xf>
    <xf numFmtId="43" fontId="99" fillId="52" borderId="44" xfId="97" applyFont="1" applyFill="1" applyBorder="1" applyAlignment="1" applyProtection="1">
      <alignment horizontal="right" vertical="top" wrapText="1"/>
      <protection/>
    </xf>
    <xf numFmtId="4" fontId="99" fillId="52" borderId="44" xfId="0" applyNumberFormat="1" applyFont="1" applyFill="1" applyBorder="1" applyAlignment="1" applyProtection="1">
      <alignment horizontal="center" vertical="top"/>
      <protection/>
    </xf>
    <xf numFmtId="1" fontId="99" fillId="52" borderId="44" xfId="0" applyNumberFormat="1" applyFont="1" applyFill="1" applyBorder="1" applyAlignment="1" applyProtection="1">
      <alignment horizontal="right" vertical="top" wrapText="1"/>
      <protection/>
    </xf>
    <xf numFmtId="0" fontId="102" fillId="52" borderId="44" xfId="0" applyFont="1" applyFill="1" applyBorder="1" applyAlignment="1" applyProtection="1">
      <alignment horizontal="left" vertical="top"/>
      <protection/>
    </xf>
    <xf numFmtId="2" fontId="102" fillId="52" borderId="44" xfId="0" applyNumberFormat="1" applyFont="1" applyFill="1" applyBorder="1" applyAlignment="1" applyProtection="1">
      <alignment horizontal="right" vertical="top" wrapText="1"/>
      <protection/>
    </xf>
    <xf numFmtId="0" fontId="89" fillId="52" borderId="44" xfId="0" applyFont="1" applyFill="1" applyBorder="1" applyAlignment="1" applyProtection="1">
      <alignment horizontal="left" vertical="top"/>
      <protection/>
    </xf>
    <xf numFmtId="0" fontId="102" fillId="52" borderId="69" xfId="0" applyFont="1" applyFill="1" applyBorder="1" applyAlignment="1" applyProtection="1">
      <alignment/>
      <protection/>
    </xf>
    <xf numFmtId="0" fontId="102" fillId="52" borderId="37" xfId="0" applyFont="1" applyFill="1" applyBorder="1" applyAlignment="1" applyProtection="1">
      <alignment horizontal="right" vertical="top" wrapText="1"/>
      <protection/>
    </xf>
    <xf numFmtId="0" fontId="102" fillId="52" borderId="37" xfId="0" applyFont="1" applyFill="1" applyBorder="1" applyAlignment="1" applyProtection="1">
      <alignment vertical="top" wrapText="1"/>
      <protection/>
    </xf>
    <xf numFmtId="43" fontId="89" fillId="52" borderId="37" xfId="97" applyFont="1" applyFill="1" applyBorder="1" applyAlignment="1" applyProtection="1">
      <alignment horizontal="right" vertical="top" wrapText="1"/>
      <protection/>
    </xf>
    <xf numFmtId="0" fontId="99" fillId="52" borderId="44" xfId="0" applyFont="1" applyFill="1" applyBorder="1" applyAlignment="1" applyProtection="1" quotePrefix="1">
      <alignment horizontal="left" vertical="top"/>
      <protection/>
    </xf>
    <xf numFmtId="0" fontId="89" fillId="52" borderId="44" xfId="0" applyFont="1" applyFill="1" applyBorder="1" applyAlignment="1" applyProtection="1">
      <alignment horizontal="center" vertical="top"/>
      <protection/>
    </xf>
    <xf numFmtId="192" fontId="102" fillId="52" borderId="44" xfId="0" applyNumberFormat="1" applyFont="1" applyFill="1" applyBorder="1" applyAlignment="1" applyProtection="1">
      <alignment horizontal="right" vertical="top" wrapText="1"/>
      <protection/>
    </xf>
    <xf numFmtId="4" fontId="89" fillId="52" borderId="44" xfId="0" applyNumberFormat="1" applyFont="1" applyFill="1" applyBorder="1" applyAlignment="1" applyProtection="1">
      <alignment horizontal="right" vertical="top"/>
      <protection/>
    </xf>
    <xf numFmtId="43" fontId="89" fillId="52" borderId="70" xfId="97" applyFont="1" applyFill="1" applyBorder="1" applyAlignment="1" applyProtection="1">
      <alignment horizontal="right" vertical="top" wrapText="1"/>
      <protection/>
    </xf>
    <xf numFmtId="0" fontId="103" fillId="52" borderId="44" xfId="125" applyFont="1" applyFill="1" applyBorder="1" applyAlignment="1" applyProtection="1">
      <alignment vertical="top"/>
      <protection/>
    </xf>
    <xf numFmtId="0" fontId="99" fillId="52" borderId="44" xfId="125" applyFont="1" applyFill="1" applyBorder="1" applyAlignment="1" applyProtection="1">
      <alignment vertical="top"/>
      <protection/>
    </xf>
    <xf numFmtId="4" fontId="102" fillId="52" borderId="70" xfId="109" applyNumberFormat="1" applyFont="1" applyFill="1" applyBorder="1" applyAlignment="1" applyProtection="1">
      <alignment horizontal="right" vertical="top" wrapText="1"/>
      <protection/>
    </xf>
    <xf numFmtId="4" fontId="102" fillId="52" borderId="44" xfId="125" applyNumberFormat="1" applyFont="1" applyFill="1" applyBorder="1" applyAlignment="1" applyProtection="1">
      <alignment horizontal="center" vertical="top"/>
      <protection/>
    </xf>
    <xf numFmtId="0" fontId="102" fillId="52" borderId="44" xfId="125" applyFont="1" applyFill="1" applyBorder="1" applyAlignment="1" applyProtection="1">
      <alignment horizontal="right" vertical="top"/>
      <protection/>
    </xf>
    <xf numFmtId="0" fontId="102" fillId="52" borderId="44" xfId="125" applyFont="1" applyFill="1" applyBorder="1" applyAlignment="1" applyProtection="1">
      <alignment vertical="top"/>
      <protection/>
    </xf>
    <xf numFmtId="4" fontId="89" fillId="52" borderId="70" xfId="109" applyNumberFormat="1" applyFont="1" applyFill="1" applyBorder="1" applyAlignment="1" applyProtection="1">
      <alignment horizontal="right" vertical="top" wrapText="1"/>
      <protection/>
    </xf>
    <xf numFmtId="4" fontId="89" fillId="52" borderId="44" xfId="125" applyNumberFormat="1" applyFont="1" applyFill="1" applyBorder="1" applyAlignment="1" applyProtection="1">
      <alignment horizontal="center" vertical="top"/>
      <protection/>
    </xf>
    <xf numFmtId="0" fontId="103" fillId="52" borderId="44" xfId="125" applyFont="1" applyFill="1" applyBorder="1" applyAlignment="1" applyProtection="1">
      <alignment horizontal="right" vertical="top"/>
      <protection/>
    </xf>
    <xf numFmtId="0" fontId="102" fillId="52" borderId="44" xfId="125" applyFont="1" applyFill="1" applyBorder="1" applyAlignment="1" applyProtection="1">
      <alignment vertical="center" wrapText="1"/>
      <protection/>
    </xf>
    <xf numFmtId="4" fontId="89" fillId="52" borderId="70" xfId="109" applyNumberFormat="1" applyFont="1" applyFill="1" applyBorder="1" applyAlignment="1" applyProtection="1">
      <alignment horizontal="right" vertical="center" wrapText="1"/>
      <protection/>
    </xf>
    <xf numFmtId="4" fontId="89" fillId="52" borderId="44" xfId="125" applyNumberFormat="1" applyFont="1" applyFill="1" applyBorder="1" applyAlignment="1" applyProtection="1">
      <alignment horizontal="center" vertical="center" wrapText="1"/>
      <protection/>
    </xf>
    <xf numFmtId="0" fontId="102" fillId="52" borderId="44" xfId="125" applyFont="1" applyFill="1" applyBorder="1" applyAlignment="1" applyProtection="1">
      <alignment vertical="top" wrapText="1"/>
      <protection/>
    </xf>
    <xf numFmtId="4" fontId="89" fillId="52" borderId="44" xfId="109" applyNumberFormat="1" applyFont="1" applyFill="1" applyBorder="1" applyAlignment="1" applyProtection="1">
      <alignment horizontal="right" vertical="top" wrapText="1"/>
      <protection/>
    </xf>
    <xf numFmtId="4" fontId="89" fillId="52" borderId="44" xfId="125" applyNumberFormat="1" applyFont="1" applyFill="1" applyBorder="1" applyAlignment="1" applyProtection="1">
      <alignment horizontal="center" vertical="center"/>
      <protection/>
    </xf>
    <xf numFmtId="0" fontId="89" fillId="55" borderId="37" xfId="0" applyFont="1" applyFill="1" applyBorder="1" applyAlignment="1" applyProtection="1">
      <alignment vertical="top"/>
      <protection/>
    </xf>
    <xf numFmtId="0" fontId="99" fillId="55" borderId="63" xfId="0" applyFont="1" applyFill="1" applyBorder="1" applyAlignment="1" applyProtection="1">
      <alignment horizontal="center" vertical="top"/>
      <protection/>
    </xf>
    <xf numFmtId="4" fontId="89" fillId="55" borderId="37" xfId="0" applyNumberFormat="1" applyFont="1" applyFill="1" applyBorder="1" applyAlignment="1" applyProtection="1">
      <alignment vertical="top"/>
      <protection/>
    </xf>
    <xf numFmtId="0" fontId="99" fillId="52" borderId="44" xfId="0" applyFont="1" applyFill="1" applyBorder="1" applyAlignment="1" applyProtection="1">
      <alignment horizontal="right" vertical="top"/>
      <protection/>
    </xf>
    <xf numFmtId="0" fontId="99" fillId="52" borderId="44" xfId="142" applyNumberFormat="1" applyFont="1" applyFill="1" applyBorder="1" applyAlignment="1" applyProtection="1">
      <alignment horizontal="left" vertical="top" wrapText="1"/>
      <protection/>
    </xf>
    <xf numFmtId="0" fontId="89" fillId="52" borderId="70" xfId="0" applyFont="1" applyFill="1" applyBorder="1" applyAlignment="1" applyProtection="1">
      <alignment vertical="top"/>
      <protection/>
    </xf>
    <xf numFmtId="0" fontId="102" fillId="52" borderId="70" xfId="0" applyFont="1" applyFill="1" applyBorder="1" applyAlignment="1" applyProtection="1">
      <alignment vertical="top" wrapText="1"/>
      <protection/>
    </xf>
    <xf numFmtId="0" fontId="89" fillId="52" borderId="44" xfId="142" applyNumberFormat="1" applyFont="1" applyFill="1" applyBorder="1" applyAlignment="1" applyProtection="1">
      <alignment horizontal="center" vertical="top" wrapText="1"/>
      <protection/>
    </xf>
    <xf numFmtId="0" fontId="99" fillId="52" borderId="44" xfId="142" applyNumberFormat="1" applyFont="1" applyFill="1" applyBorder="1" applyAlignment="1" applyProtection="1">
      <alignment horizontal="right" vertical="top" wrapText="1"/>
      <protection/>
    </xf>
    <xf numFmtId="0" fontId="99" fillId="52" borderId="70" xfId="142" applyNumberFormat="1" applyFont="1" applyFill="1" applyBorder="1" applyAlignment="1" applyProtection="1">
      <alignment horizontal="left" vertical="top" wrapText="1"/>
      <protection/>
    </xf>
    <xf numFmtId="39" fontId="89" fillId="52" borderId="70" xfId="142" applyNumberFormat="1" applyFont="1" applyFill="1" applyBorder="1" applyAlignment="1" applyProtection="1">
      <alignment horizontal="right" vertical="top"/>
      <protection/>
    </xf>
    <xf numFmtId="0" fontId="89" fillId="52" borderId="44" xfId="142" applyNumberFormat="1" applyFont="1" applyFill="1" applyBorder="1" applyAlignment="1" applyProtection="1">
      <alignment horizontal="right" vertical="top" wrapText="1"/>
      <protection/>
    </xf>
    <xf numFmtId="0" fontId="99" fillId="52" borderId="70" xfId="0" applyFont="1" applyFill="1" applyBorder="1" applyAlignment="1" applyProtection="1">
      <alignment vertical="top" wrapText="1"/>
      <protection/>
    </xf>
    <xf numFmtId="216" fontId="89" fillId="52" borderId="44" xfId="0" applyNumberFormat="1" applyFont="1" applyFill="1" applyBorder="1" applyAlignment="1" applyProtection="1">
      <alignment horizontal="center" vertical="top"/>
      <protection/>
    </xf>
    <xf numFmtId="4" fontId="102" fillId="0" borderId="44" xfId="0" applyNumberFormat="1" applyFont="1" applyFill="1" applyBorder="1" applyAlignment="1" applyProtection="1">
      <alignment horizontal="center" vertical="top"/>
      <protection/>
    </xf>
    <xf numFmtId="0" fontId="89" fillId="52" borderId="70" xfId="0" applyFont="1" applyFill="1" applyBorder="1" applyAlignment="1" applyProtection="1">
      <alignment vertical="top" wrapText="1"/>
      <protection/>
    </xf>
    <xf numFmtId="184" fontId="89" fillId="52" borderId="44" xfId="132" applyNumberFormat="1" applyFont="1" applyFill="1" applyBorder="1" applyAlignment="1" applyProtection="1">
      <alignment horizontal="center" vertical="top" wrapText="1"/>
      <protection/>
    </xf>
    <xf numFmtId="0" fontId="99" fillId="56" borderId="37" xfId="0" applyFont="1" applyFill="1" applyBorder="1" applyAlignment="1" applyProtection="1">
      <alignment vertical="top"/>
      <protection/>
    </xf>
    <xf numFmtId="0" fontId="99" fillId="56" borderId="37" xfId="0" applyFont="1" applyFill="1" applyBorder="1" applyAlignment="1" applyProtection="1">
      <alignment horizontal="center" vertical="top"/>
      <protection/>
    </xf>
    <xf numFmtId="39" fontId="99" fillId="52" borderId="44" xfId="0" applyNumberFormat="1" applyFont="1" applyFill="1" applyBorder="1" applyAlignment="1" applyProtection="1">
      <alignment horizontal="right" vertical="top" wrapText="1"/>
      <protection/>
    </xf>
    <xf numFmtId="49" fontId="99" fillId="52" borderId="44" xfId="0" applyNumberFormat="1" applyFont="1" applyFill="1" applyBorder="1" applyAlignment="1" applyProtection="1">
      <alignment horizontal="left" vertical="top" wrapText="1"/>
      <protection/>
    </xf>
    <xf numFmtId="39" fontId="89" fillId="52" borderId="44" xfId="0" applyNumberFormat="1" applyFont="1" applyFill="1" applyBorder="1" applyAlignment="1" applyProtection="1">
      <alignment vertical="top" wrapText="1"/>
      <protection/>
    </xf>
    <xf numFmtId="184" fontId="89" fillId="52" borderId="44" xfId="0" applyNumberFormat="1" applyFont="1" applyFill="1" applyBorder="1" applyAlignment="1" applyProtection="1">
      <alignment horizontal="center" vertical="top" wrapText="1"/>
      <protection/>
    </xf>
    <xf numFmtId="37" fontId="89" fillId="52" borderId="69" xfId="0" applyNumberFormat="1" applyFont="1" applyFill="1" applyBorder="1" applyAlignment="1" applyProtection="1">
      <alignment horizontal="right" vertical="top" wrapText="1"/>
      <protection/>
    </xf>
    <xf numFmtId="0" fontId="102" fillId="57" borderId="44" xfId="0" applyFont="1" applyFill="1" applyBorder="1" applyAlignment="1" applyProtection="1">
      <alignment vertical="top" wrapText="1"/>
      <protection/>
    </xf>
    <xf numFmtId="39" fontId="89" fillId="52" borderId="70" xfId="0" applyNumberFormat="1" applyFont="1" applyFill="1" applyBorder="1" applyAlignment="1" applyProtection="1">
      <alignment vertical="top" wrapText="1"/>
      <protection/>
    </xf>
    <xf numFmtId="1" fontId="89" fillId="0" borderId="69" xfId="0" applyNumberFormat="1" applyFont="1" applyBorder="1" applyAlignment="1" applyProtection="1">
      <alignment horizontal="right" vertical="top"/>
      <protection/>
    </xf>
    <xf numFmtId="0" fontId="102" fillId="0" borderId="44" xfId="0" applyFont="1" applyBorder="1" applyAlignment="1" applyProtection="1">
      <alignment vertical="center" wrapText="1"/>
      <protection/>
    </xf>
    <xf numFmtId="184" fontId="89" fillId="0" borderId="44" xfId="0" applyNumberFormat="1" applyFont="1" applyBorder="1" applyAlignment="1" applyProtection="1">
      <alignment horizontal="center" vertical="top"/>
      <protection/>
    </xf>
    <xf numFmtId="0" fontId="89" fillId="55" borderId="44" xfId="0" applyFont="1" applyFill="1" applyBorder="1" applyAlignment="1" applyProtection="1">
      <alignment vertical="top"/>
      <protection/>
    </xf>
    <xf numFmtId="0" fontId="99" fillId="55" borderId="69" xfId="0" applyFont="1" applyFill="1" applyBorder="1" applyAlignment="1" applyProtection="1">
      <alignment horizontal="center" vertical="top"/>
      <protection/>
    </xf>
    <xf numFmtId="4" fontId="89" fillId="55" borderId="44" xfId="0" applyNumberFormat="1" applyFont="1" applyFill="1" applyBorder="1" applyAlignment="1" applyProtection="1">
      <alignment vertical="top"/>
      <protection/>
    </xf>
    <xf numFmtId="0" fontId="89" fillId="52" borderId="44" xfId="0" applyFont="1" applyFill="1" applyBorder="1" applyAlignment="1" applyProtection="1">
      <alignment/>
      <protection/>
    </xf>
    <xf numFmtId="4" fontId="89" fillId="52" borderId="44" xfId="0" applyNumberFormat="1" applyFont="1" applyFill="1" applyBorder="1" applyAlignment="1" applyProtection="1">
      <alignment/>
      <protection/>
    </xf>
    <xf numFmtId="0" fontId="89" fillId="52" borderId="44" xfId="0" applyFont="1" applyFill="1" applyBorder="1" applyAlignment="1" applyProtection="1">
      <alignment/>
      <protection/>
    </xf>
    <xf numFmtId="0" fontId="89" fillId="55" borderId="37" xfId="0" applyFont="1" applyFill="1" applyBorder="1" applyAlignment="1" applyProtection="1">
      <alignment horizontal="center" vertical="top"/>
      <protection/>
    </xf>
    <xf numFmtId="0" fontId="99" fillId="55" borderId="37" xfId="0" applyFont="1" applyFill="1" applyBorder="1" applyAlignment="1" applyProtection="1">
      <alignment horizontal="center"/>
      <protection/>
    </xf>
    <xf numFmtId="4" fontId="89" fillId="55" borderId="37" xfId="0" applyNumberFormat="1" applyFont="1" applyFill="1" applyBorder="1" applyAlignment="1" applyProtection="1">
      <alignment/>
      <protection/>
    </xf>
    <xf numFmtId="4" fontId="89" fillId="55" borderId="37" xfId="0" applyNumberFormat="1" applyFont="1" applyFill="1" applyBorder="1" applyAlignment="1" applyProtection="1">
      <alignment horizontal="center"/>
      <protection/>
    </xf>
    <xf numFmtId="0" fontId="100" fillId="52" borderId="44" xfId="0" applyFont="1" applyFill="1" applyBorder="1" applyAlignment="1" applyProtection="1">
      <alignment/>
      <protection/>
    </xf>
    <xf numFmtId="4" fontId="0" fillId="52" borderId="44" xfId="0" applyNumberFormat="1" applyFont="1" applyFill="1" applyBorder="1" applyAlignment="1" applyProtection="1">
      <alignment/>
      <protection/>
    </xf>
    <xf numFmtId="0" fontId="0" fillId="52" borderId="44" xfId="0" applyFont="1" applyFill="1" applyBorder="1" applyAlignment="1" applyProtection="1">
      <alignment/>
      <protection/>
    </xf>
    <xf numFmtId="0" fontId="9" fillId="52" borderId="44" xfId="0" applyFont="1" applyFill="1" applyBorder="1" applyAlignment="1" applyProtection="1">
      <alignment horizontal="center" vertical="top"/>
      <protection/>
    </xf>
    <xf numFmtId="4" fontId="9" fillId="52" borderId="44" xfId="0" applyNumberFormat="1" applyFont="1" applyFill="1" applyBorder="1" applyAlignment="1" applyProtection="1">
      <alignment/>
      <protection/>
    </xf>
    <xf numFmtId="4" fontId="9" fillId="52" borderId="44" xfId="0" applyNumberFormat="1" applyFont="1" applyFill="1" applyBorder="1" applyAlignment="1" applyProtection="1">
      <alignment horizontal="center"/>
      <protection/>
    </xf>
    <xf numFmtId="0" fontId="9" fillId="52" borderId="69" xfId="0" applyFont="1" applyFill="1" applyBorder="1" applyAlignment="1" applyProtection="1">
      <alignment horizontal="center" vertical="top"/>
      <protection/>
    </xf>
    <xf numFmtId="0" fontId="102" fillId="57" borderId="44" xfId="0" applyFont="1" applyFill="1" applyBorder="1" applyAlignment="1" applyProtection="1">
      <alignment horizontal="right" vertical="center"/>
      <protection/>
    </xf>
    <xf numFmtId="186" fontId="9" fillId="52" borderId="70" xfId="0" applyNumberFormat="1" applyFont="1" applyFill="1" applyBorder="1" applyAlignment="1" applyProtection="1">
      <alignment vertical="top"/>
      <protection/>
    </xf>
    <xf numFmtId="186" fontId="9" fillId="52" borderId="44" xfId="0" applyNumberFormat="1" applyFont="1" applyFill="1" applyBorder="1" applyAlignment="1" applyProtection="1">
      <alignment/>
      <protection/>
    </xf>
    <xf numFmtId="0" fontId="89" fillId="57" borderId="44" xfId="0" applyFont="1" applyFill="1" applyBorder="1" applyAlignment="1" applyProtection="1">
      <alignment horizontal="right" vertical="center"/>
      <protection/>
    </xf>
    <xf numFmtId="186" fontId="0" fillId="52" borderId="0" xfId="159" applyNumberFormat="1" applyFont="1" applyFill="1" applyBorder="1" applyAlignment="1" applyProtection="1">
      <alignment/>
      <protection/>
    </xf>
    <xf numFmtId="0" fontId="102" fillId="57" borderId="44" xfId="0" applyFont="1" applyFill="1" applyBorder="1" applyAlignment="1" applyProtection="1">
      <alignment horizontal="right" vertical="center" wrapText="1"/>
      <protection/>
    </xf>
    <xf numFmtId="10" fontId="0" fillId="52" borderId="70" xfId="159" applyNumberFormat="1" applyFont="1" applyFill="1" applyBorder="1" applyAlignment="1" applyProtection="1">
      <alignment vertical="top"/>
      <protection/>
    </xf>
    <xf numFmtId="186" fontId="9" fillId="52" borderId="44" xfId="0" applyNumberFormat="1" applyFont="1" applyFill="1" applyBorder="1" applyAlignment="1" applyProtection="1">
      <alignment vertical="top"/>
      <protection/>
    </xf>
    <xf numFmtId="0" fontId="12" fillId="52" borderId="44" xfId="0" applyFont="1" applyFill="1" applyBorder="1" applyAlignment="1" applyProtection="1">
      <alignment horizontal="center" vertical="top"/>
      <protection/>
    </xf>
    <xf numFmtId="0" fontId="12" fillId="52" borderId="44" xfId="0" applyFont="1" applyFill="1" applyBorder="1" applyAlignment="1" applyProtection="1">
      <alignment vertical="top"/>
      <protection/>
    </xf>
    <xf numFmtId="186" fontId="12" fillId="52" borderId="44" xfId="0" applyNumberFormat="1" applyFont="1" applyFill="1" applyBorder="1" applyAlignment="1" applyProtection="1">
      <alignment/>
      <protection/>
    </xf>
    <xf numFmtId="0" fontId="12" fillId="55" borderId="44" xfId="0" applyFont="1" applyFill="1" applyBorder="1" applyAlignment="1" applyProtection="1">
      <alignment horizontal="center" vertical="top"/>
      <protection/>
    </xf>
    <xf numFmtId="0" fontId="99" fillId="55" borderId="44" xfId="0" applyFont="1" applyFill="1" applyBorder="1" applyAlignment="1" applyProtection="1">
      <alignment horizontal="right" vertical="top"/>
      <protection/>
    </xf>
    <xf numFmtId="0" fontId="12" fillId="55" borderId="44" xfId="0" applyFont="1" applyFill="1" applyBorder="1" applyAlignment="1" applyProtection="1">
      <alignment vertical="top"/>
      <protection/>
    </xf>
    <xf numFmtId="186" fontId="12" fillId="55" borderId="44" xfId="0" applyNumberFormat="1" applyFont="1" applyFill="1" applyBorder="1" applyAlignment="1" applyProtection="1">
      <alignment/>
      <protection/>
    </xf>
    <xf numFmtId="0" fontId="5" fillId="52" borderId="44" xfId="0" applyFont="1" applyFill="1" applyBorder="1" applyAlignment="1" applyProtection="1">
      <alignment horizontal="right" vertical="top"/>
      <protection/>
    </xf>
    <xf numFmtId="0" fontId="5" fillId="55" borderId="37" xfId="0" applyFont="1" applyFill="1" applyBorder="1" applyAlignment="1" applyProtection="1">
      <alignment horizontal="right"/>
      <protection/>
    </xf>
    <xf numFmtId="0" fontId="12" fillId="55" borderId="37" xfId="0" applyFont="1" applyFill="1" applyBorder="1" applyAlignment="1" applyProtection="1">
      <alignment/>
      <protection/>
    </xf>
    <xf numFmtId="0" fontId="5" fillId="27" borderId="0" xfId="146" applyFont="1" applyFill="1" applyBorder="1" applyAlignment="1">
      <alignment horizontal="center"/>
      <protection/>
    </xf>
    <xf numFmtId="0" fontId="9" fillId="35" borderId="24" xfId="146" applyFont="1" applyFill="1" applyBorder="1" applyAlignment="1">
      <alignment horizontal="center"/>
      <protection/>
    </xf>
    <xf numFmtId="0" fontId="98" fillId="55" borderId="0" xfId="146" applyFont="1" applyFill="1" applyBorder="1" applyAlignment="1">
      <alignment horizontal="center"/>
      <protection/>
    </xf>
    <xf numFmtId="0" fontId="12" fillId="35" borderId="25" xfId="0" applyFont="1" applyFill="1" applyBorder="1" applyAlignment="1">
      <alignment horizontal="center"/>
    </xf>
    <xf numFmtId="0" fontId="9" fillId="27" borderId="0" xfId="146" applyFont="1" applyFill="1" applyAlignment="1">
      <alignment horizontal="center" vertical="top"/>
      <protection/>
    </xf>
    <xf numFmtId="0" fontId="12" fillId="27" borderId="0" xfId="146" applyFont="1" applyFill="1" applyAlignment="1">
      <alignment horizontal="center"/>
      <protection/>
    </xf>
    <xf numFmtId="0" fontId="12" fillId="27" borderId="0" xfId="146" applyFont="1" applyFill="1" applyAlignment="1" quotePrefix="1">
      <alignment horizontal="center"/>
      <protection/>
    </xf>
    <xf numFmtId="0" fontId="12" fillId="55" borderId="0" xfId="146" applyFont="1" applyFill="1" applyBorder="1" applyAlignment="1">
      <alignment horizontal="center" vertical="top"/>
      <protection/>
    </xf>
    <xf numFmtId="0" fontId="3" fillId="50" borderId="0" xfId="146" applyFont="1" applyFill="1" applyAlignment="1">
      <alignment horizontal="center"/>
      <protection/>
    </xf>
    <xf numFmtId="0" fontId="12" fillId="55" borderId="0" xfId="146" applyFont="1" applyFill="1" applyAlignment="1">
      <alignment horizontal="center"/>
      <protection/>
    </xf>
    <xf numFmtId="0" fontId="12" fillId="55" borderId="18" xfId="146" applyFont="1" applyFill="1" applyBorder="1" applyAlignment="1">
      <alignment horizontal="center" vertical="top"/>
      <protection/>
    </xf>
    <xf numFmtId="0" fontId="5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7" fillId="35" borderId="18" xfId="0" applyFont="1" applyFill="1" applyBorder="1" applyAlignment="1">
      <alignment horizontal="left"/>
    </xf>
    <xf numFmtId="4" fontId="5" fillId="52" borderId="24" xfId="0" applyNumberFormat="1" applyFont="1" applyFill="1" applyBorder="1" applyAlignment="1">
      <alignment horizontal="right"/>
    </xf>
    <xf numFmtId="4" fontId="5" fillId="52" borderId="25" xfId="0" applyNumberFormat="1" applyFont="1" applyFill="1" applyBorder="1" applyAlignment="1">
      <alignment horizontal="right"/>
    </xf>
    <xf numFmtId="0" fontId="13" fillId="50" borderId="0" xfId="146" applyFont="1" applyFill="1" applyAlignment="1">
      <alignment horizontal="center"/>
      <protection/>
    </xf>
    <xf numFmtId="0" fontId="5" fillId="35" borderId="0" xfId="143" applyFont="1" applyFill="1" applyAlignment="1">
      <alignment horizontal="left" vertical="top" wrapText="1"/>
      <protection/>
    </xf>
    <xf numFmtId="199" fontId="5" fillId="8" borderId="64" xfId="113" applyNumberFormat="1" applyFont="1" applyFill="1" applyBorder="1" applyAlignment="1" quotePrefix="1">
      <alignment horizontal="right"/>
    </xf>
    <xf numFmtId="199" fontId="5" fillId="8" borderId="56" xfId="113" applyNumberFormat="1" applyFont="1" applyFill="1" applyBorder="1" applyAlignment="1" quotePrefix="1">
      <alignment horizontal="right"/>
    </xf>
    <xf numFmtId="199" fontId="5" fillId="8" borderId="73" xfId="113" applyNumberFormat="1" applyFont="1" applyFill="1" applyBorder="1" applyAlignment="1" quotePrefix="1">
      <alignment horizontal="right"/>
    </xf>
    <xf numFmtId="199" fontId="5" fillId="8" borderId="58" xfId="113" applyNumberFormat="1" applyFont="1" applyFill="1" applyBorder="1" applyAlignment="1" quotePrefix="1">
      <alignment horizontal="right"/>
    </xf>
    <xf numFmtId="0" fontId="5" fillId="8" borderId="73" xfId="146" applyFont="1" applyFill="1" applyBorder="1" applyAlignment="1">
      <alignment horizontal="right"/>
      <protection/>
    </xf>
    <xf numFmtId="0" fontId="5" fillId="8" borderId="58" xfId="146" applyFont="1" applyFill="1" applyBorder="1" applyAlignment="1">
      <alignment horizontal="right"/>
      <protection/>
    </xf>
    <xf numFmtId="0" fontId="5" fillId="8" borderId="49" xfId="146" applyFont="1" applyFill="1" applyBorder="1" applyAlignment="1">
      <alignment horizontal="right"/>
      <protection/>
    </xf>
    <xf numFmtId="0" fontId="13" fillId="13" borderId="42" xfId="146" applyFont="1" applyFill="1" applyBorder="1" applyAlignment="1">
      <alignment horizontal="center"/>
      <protection/>
    </xf>
    <xf numFmtId="0" fontId="13" fillId="13" borderId="49" xfId="146" applyFont="1" applyFill="1" applyBorder="1" applyAlignment="1">
      <alignment horizontal="center"/>
      <protection/>
    </xf>
    <xf numFmtId="0" fontId="13" fillId="13" borderId="48" xfId="146" applyFont="1" applyFill="1" applyBorder="1" applyAlignment="1">
      <alignment horizontal="center"/>
      <protection/>
    </xf>
    <xf numFmtId="0" fontId="35" fillId="13" borderId="43" xfId="146" applyFont="1" applyFill="1" applyBorder="1" applyAlignment="1">
      <alignment horizontal="center" vertical="top" wrapText="1"/>
      <protection/>
    </xf>
    <xf numFmtId="0" fontId="35" fillId="13" borderId="0" xfId="146" applyFont="1" applyFill="1" applyBorder="1" applyAlignment="1">
      <alignment horizontal="center" vertical="top" wrapText="1"/>
      <protection/>
    </xf>
    <xf numFmtId="0" fontId="35" fillId="13" borderId="51" xfId="146" applyFont="1" applyFill="1" applyBorder="1" applyAlignment="1">
      <alignment horizontal="center" vertical="top" wrapText="1"/>
      <protection/>
    </xf>
    <xf numFmtId="0" fontId="34" fillId="13" borderId="43" xfId="146" applyFont="1" applyFill="1" applyBorder="1" applyAlignment="1">
      <alignment horizontal="center" vertical="top" wrapText="1"/>
      <protection/>
    </xf>
    <xf numFmtId="0" fontId="34" fillId="13" borderId="0" xfId="146" applyFont="1" applyFill="1" applyBorder="1" applyAlignment="1">
      <alignment horizontal="center" vertical="top" wrapText="1"/>
      <protection/>
    </xf>
    <xf numFmtId="0" fontId="34" fillId="13" borderId="51" xfId="146" applyFont="1" applyFill="1" applyBorder="1" applyAlignment="1">
      <alignment horizontal="center" vertical="top" wrapText="1"/>
      <protection/>
    </xf>
    <xf numFmtId="0" fontId="5" fillId="13" borderId="43" xfId="146" applyFont="1" applyFill="1" applyBorder="1" applyAlignment="1">
      <alignment horizontal="left" vertical="top" wrapText="1"/>
      <protection/>
    </xf>
    <xf numFmtId="0" fontId="5" fillId="13" borderId="0" xfId="146" applyFont="1" applyFill="1" applyBorder="1" applyAlignment="1">
      <alignment horizontal="left" vertical="top" wrapText="1"/>
      <protection/>
    </xf>
    <xf numFmtId="0" fontId="12" fillId="52" borderId="0" xfId="0" applyFont="1" applyFill="1" applyBorder="1" applyAlignment="1" applyProtection="1">
      <alignment horizontal="center"/>
      <protection locked="0"/>
    </xf>
    <xf numFmtId="0" fontId="0" fillId="52" borderId="0" xfId="0" applyFont="1" applyFill="1" applyBorder="1" applyAlignment="1" applyProtection="1">
      <alignment horizontal="center" vertical="top"/>
      <protection locked="0"/>
    </xf>
    <xf numFmtId="0" fontId="104" fillId="0" borderId="0" xfId="0" applyFont="1" applyAlignment="1" applyProtection="1">
      <alignment horizontal="center" vertical="center"/>
      <protection locked="0"/>
    </xf>
    <xf numFmtId="0" fontId="12" fillId="52" borderId="0" xfId="0" applyFont="1" applyFill="1" applyBorder="1" applyAlignment="1" applyProtection="1">
      <alignment horizontal="center" vertical="top"/>
      <protection locked="0"/>
    </xf>
    <xf numFmtId="0" fontId="5" fillId="52" borderId="0" xfId="126" applyFont="1" applyFill="1" applyBorder="1" applyAlignment="1" applyProtection="1">
      <alignment horizontal="center"/>
      <protection locked="0"/>
    </xf>
    <xf numFmtId="0" fontId="9" fillId="52" borderId="0" xfId="0" applyFont="1" applyFill="1" applyBorder="1" applyAlignment="1" applyProtection="1">
      <alignment horizontal="left" vertical="top" wrapText="1"/>
      <protection locked="0"/>
    </xf>
  </cellXfs>
  <cellStyles count="1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 2" xfId="64"/>
    <cellStyle name="Comma_ANALISIS EL PUERTO" xfId="65"/>
    <cellStyle name="Comma_ANALISIS EL PUERTO_PRES. 62-08 ACUEDUCTO SABANA YEGUA Y TABARA ABAJO, AZUA (desenlazado)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Good" xfId="85"/>
    <cellStyle name="Heading 1" xfId="86"/>
    <cellStyle name="Heading 2" xfId="87"/>
    <cellStyle name="Heading 3" xfId="88"/>
    <cellStyle name="Heading 4" xfId="89"/>
    <cellStyle name="Hyperlink" xfId="90"/>
    <cellStyle name="Followed Hyperlink" xfId="91"/>
    <cellStyle name="Incorrecto" xfId="92"/>
    <cellStyle name="Input" xfId="93"/>
    <cellStyle name="Linked Cell" xfId="94"/>
    <cellStyle name="Comma" xfId="95"/>
    <cellStyle name="Comma [0]" xfId="96"/>
    <cellStyle name="Millares 10" xfId="97"/>
    <cellStyle name="Millares 10 2 2 2" xfId="98"/>
    <cellStyle name="Millares 10 2 2 3" xfId="99"/>
    <cellStyle name="Millares 11" xfId="100"/>
    <cellStyle name="Millares 2" xfId="101"/>
    <cellStyle name="Millares 2 2" xfId="102"/>
    <cellStyle name="Millares 2 2 2" xfId="103"/>
    <cellStyle name="Millares 3" xfId="104"/>
    <cellStyle name="Millares 3 3" xfId="105"/>
    <cellStyle name="Millares 3_111-12 ac neyba zona alta" xfId="106"/>
    <cellStyle name="Millares 4" xfId="107"/>
    <cellStyle name="Millares 5 2" xfId="108"/>
    <cellStyle name="Millares 5 3" xfId="109"/>
    <cellStyle name="Millares 6" xfId="110"/>
    <cellStyle name="Millares 8" xfId="111"/>
    <cellStyle name="Millares_154-05 terminacion carenero villa clara parte b juana vicenta y los cocos" xfId="112"/>
    <cellStyle name="Millares_ALCANTARILLADO SANITARIO - LA DESCUBIERTA -EGB" xfId="113"/>
    <cellStyle name="Millares_ANALISIS  ACUEDUCTO LA CUEVA DE CEVICOS" xfId="114"/>
    <cellStyle name="Millares_analisis el pino junumucú" xfId="115"/>
    <cellStyle name="Millares_PLANTA TRATAMIENTO DE TIREO CONSTANZA" xfId="116"/>
    <cellStyle name="Millares_rec 1#57-06  al 160-05 2da. terminacion ac. carenero, villa clara, juana vicenta y los cocos" xfId="117"/>
    <cellStyle name="Millares_rec. 1 al 314-04 ac. mult. sabana larga-hato viejo-potroso" xfId="118"/>
    <cellStyle name="Currency" xfId="119"/>
    <cellStyle name="Currency [0]" xfId="120"/>
    <cellStyle name="Moneda 2" xfId="121"/>
    <cellStyle name="Neutral" xfId="122"/>
    <cellStyle name="No-definido" xfId="123"/>
    <cellStyle name="Normal - Style1" xfId="124"/>
    <cellStyle name="Normal 10" xfId="125"/>
    <cellStyle name="Normal 11 2" xfId="126"/>
    <cellStyle name="Normal 13" xfId="127"/>
    <cellStyle name="Normal 13 2 3" xfId="128"/>
    <cellStyle name="Normal 15 2 4" xfId="129"/>
    <cellStyle name="Normal 2" xfId="130"/>
    <cellStyle name="Normal 2 2" xfId="131"/>
    <cellStyle name="Normal 2 2 2" xfId="132"/>
    <cellStyle name="Normal 2 3" xfId="133"/>
    <cellStyle name="Normal 2 4" xfId="134"/>
    <cellStyle name="Normal 2_114-08 PRESUP. ADICIONALES OBRA DE TOMA RIO SOCO SAN PEDRO" xfId="135"/>
    <cellStyle name="Normal 3" xfId="136"/>
    <cellStyle name="Normal 3 12" xfId="137"/>
    <cellStyle name="Normal 31_correccion de averia ac.hatillo prov.hato mayor oct.2011 2" xfId="138"/>
    <cellStyle name="Normal 4" xfId="139"/>
    <cellStyle name="Normal 45" xfId="140"/>
    <cellStyle name="Normal 9" xfId="141"/>
    <cellStyle name="Normal 9 2" xfId="142"/>
    <cellStyle name="Normal_102-09 const. dique y reh. toma lateral exist. AC. EL CACIQUE" xfId="143"/>
    <cellStyle name="Normal_126-05 terminacion alc. sant. juan dolio y guayacanes parte b" xfId="144"/>
    <cellStyle name="Normal_ACUEDUCTO HATO VIEJO-LOS AMACEYES PARTE A" xfId="145"/>
    <cellStyle name="Normal_ANALISIS EL PUERTO" xfId="146"/>
    <cellStyle name="Normal_ANALISIS EL PUERTO_154-05 terminacion carenero villa clara parte b juana vicenta y los cocos" xfId="147"/>
    <cellStyle name="Normal_ANALISIS EL PUERTO_ANALISIS GENERALES DE MARIO Y JOEL" xfId="148"/>
    <cellStyle name="Normal_Copia de Analisis PARA PRESUPUESTO OBRAS PUBLICA df enero 2004" xfId="149"/>
    <cellStyle name="Normal_Copia de Rec. no.2 294-04 (del pres. modificado)   Ac. santana catalina parte A" xfId="150"/>
    <cellStyle name="Normal_CUB04 F.N. AC.VILLA BAO" xfId="151"/>
    <cellStyle name="Normal_Libro2" xfId="152"/>
    <cellStyle name="Normal_MODIFIC. 1  al pres 01-09  Termin Acueducto de Loma de Cabrera" xfId="153"/>
    <cellStyle name="Normal_PLANTA TRATAMIENTO DE TIREO CONSTANZA" xfId="154"/>
    <cellStyle name="Notas" xfId="155"/>
    <cellStyle name="Note" xfId="156"/>
    <cellStyle name="Output" xfId="157"/>
    <cellStyle name="Percent 2" xfId="158"/>
    <cellStyle name="Percent" xfId="159"/>
    <cellStyle name="Porcentual 5" xfId="160"/>
    <cellStyle name="Salida" xfId="161"/>
    <cellStyle name="Texto de advertencia" xfId="162"/>
    <cellStyle name="Texto explicativo" xfId="163"/>
    <cellStyle name="Title" xfId="164"/>
    <cellStyle name="Título" xfId="165"/>
    <cellStyle name="Título 2" xfId="166"/>
    <cellStyle name="Título 3" xfId="167"/>
    <cellStyle name="Total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73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74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75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76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77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1666875</xdr:colOff>
      <xdr:row>492</xdr:row>
      <xdr:rowOff>0</xdr:rowOff>
    </xdr:from>
    <xdr:ext cx="2124075" cy="323850"/>
    <xdr:sp fLocksText="0">
      <xdr:nvSpPr>
        <xdr:cNvPr id="78" name="Text Box 15"/>
        <xdr:cNvSpPr txBox="1">
          <a:spLocks noChangeArrowheads="1"/>
        </xdr:cNvSpPr>
      </xdr:nvSpPr>
      <xdr:spPr>
        <a:xfrm>
          <a:off x="2219325" y="100403025"/>
          <a:ext cx="2124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79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0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1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2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83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4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85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86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7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8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9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0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1666875</xdr:colOff>
      <xdr:row>492</xdr:row>
      <xdr:rowOff>0</xdr:rowOff>
    </xdr:from>
    <xdr:ext cx="2124075" cy="323850"/>
    <xdr:sp fLocksText="0">
      <xdr:nvSpPr>
        <xdr:cNvPr id="91" name="Text Box 15"/>
        <xdr:cNvSpPr txBox="1">
          <a:spLocks noChangeArrowheads="1"/>
        </xdr:cNvSpPr>
      </xdr:nvSpPr>
      <xdr:spPr>
        <a:xfrm>
          <a:off x="2219325" y="100403025"/>
          <a:ext cx="2124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2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3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4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5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96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7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98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0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0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0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0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0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0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0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0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0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0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1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1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1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1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1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1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1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1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1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1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2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2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2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2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2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2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2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2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2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2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3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3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3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3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3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3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3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3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3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3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4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4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4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4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4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4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4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4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4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4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5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5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5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5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5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5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5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5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5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5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6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6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6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6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6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6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6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6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6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6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7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7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7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7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7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7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7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7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7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7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8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8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8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8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8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8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8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8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8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8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9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9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9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9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19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195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196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197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198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199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1666875</xdr:colOff>
      <xdr:row>492</xdr:row>
      <xdr:rowOff>0</xdr:rowOff>
    </xdr:from>
    <xdr:ext cx="2124075" cy="323850"/>
    <xdr:sp fLocksText="0">
      <xdr:nvSpPr>
        <xdr:cNvPr id="200" name="Text Box 15"/>
        <xdr:cNvSpPr txBox="1">
          <a:spLocks noChangeArrowheads="1"/>
        </xdr:cNvSpPr>
      </xdr:nvSpPr>
      <xdr:spPr>
        <a:xfrm>
          <a:off x="2219325" y="100403025"/>
          <a:ext cx="2124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201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202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203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204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205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206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207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208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209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210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211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212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1666875</xdr:colOff>
      <xdr:row>492</xdr:row>
      <xdr:rowOff>0</xdr:rowOff>
    </xdr:from>
    <xdr:ext cx="2124075" cy="323850"/>
    <xdr:sp fLocksText="0">
      <xdr:nvSpPr>
        <xdr:cNvPr id="213" name="Text Box 15"/>
        <xdr:cNvSpPr txBox="1">
          <a:spLocks noChangeArrowheads="1"/>
        </xdr:cNvSpPr>
      </xdr:nvSpPr>
      <xdr:spPr>
        <a:xfrm>
          <a:off x="2219325" y="100403025"/>
          <a:ext cx="2124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214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215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216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217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218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219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220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2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2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2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2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2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2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2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2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2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3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3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3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3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3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3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3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3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3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3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4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4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4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4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4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4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4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4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4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4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5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5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5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5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5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5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5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5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5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5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6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6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6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6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6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6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6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6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6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6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7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7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7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7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7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7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7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7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7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7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8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8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8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8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8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8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8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8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8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8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9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9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9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9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9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9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9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9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9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29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0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0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0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0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0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0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0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0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0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0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1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1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1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1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1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1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1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317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318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319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320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321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1666875</xdr:colOff>
      <xdr:row>492</xdr:row>
      <xdr:rowOff>0</xdr:rowOff>
    </xdr:from>
    <xdr:ext cx="2124075" cy="323850"/>
    <xdr:sp fLocksText="0">
      <xdr:nvSpPr>
        <xdr:cNvPr id="322" name="Text Box 15"/>
        <xdr:cNvSpPr txBox="1">
          <a:spLocks noChangeArrowheads="1"/>
        </xdr:cNvSpPr>
      </xdr:nvSpPr>
      <xdr:spPr>
        <a:xfrm>
          <a:off x="2219325" y="100403025"/>
          <a:ext cx="2124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323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324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325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326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327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328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329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330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331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332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333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334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1666875</xdr:colOff>
      <xdr:row>492</xdr:row>
      <xdr:rowOff>0</xdr:rowOff>
    </xdr:from>
    <xdr:ext cx="2124075" cy="323850"/>
    <xdr:sp fLocksText="0">
      <xdr:nvSpPr>
        <xdr:cNvPr id="335" name="Text Box 15"/>
        <xdr:cNvSpPr txBox="1">
          <a:spLocks noChangeArrowheads="1"/>
        </xdr:cNvSpPr>
      </xdr:nvSpPr>
      <xdr:spPr>
        <a:xfrm>
          <a:off x="2219325" y="100403025"/>
          <a:ext cx="2124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336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337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338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339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340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341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342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4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4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4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4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4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4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4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5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5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5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5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5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5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5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5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5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5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6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6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6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6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6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6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6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6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6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6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7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7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7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7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7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7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7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7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7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7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8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8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8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8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8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8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8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8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8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8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9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9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9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9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9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9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9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9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9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39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0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0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0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0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0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0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0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0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0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0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1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1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1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1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1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1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1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1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1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1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2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2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2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2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2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2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2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2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2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2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3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3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3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3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3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3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3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3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3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439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440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441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442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443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1666875</xdr:colOff>
      <xdr:row>492</xdr:row>
      <xdr:rowOff>0</xdr:rowOff>
    </xdr:from>
    <xdr:ext cx="2124075" cy="323850"/>
    <xdr:sp fLocksText="0">
      <xdr:nvSpPr>
        <xdr:cNvPr id="444" name="Text Box 15"/>
        <xdr:cNvSpPr txBox="1">
          <a:spLocks noChangeArrowheads="1"/>
        </xdr:cNvSpPr>
      </xdr:nvSpPr>
      <xdr:spPr>
        <a:xfrm>
          <a:off x="2219325" y="100403025"/>
          <a:ext cx="2124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445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446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447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448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449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450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451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452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453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454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455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456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1666875</xdr:colOff>
      <xdr:row>492</xdr:row>
      <xdr:rowOff>0</xdr:rowOff>
    </xdr:from>
    <xdr:ext cx="2124075" cy="323850"/>
    <xdr:sp fLocksText="0">
      <xdr:nvSpPr>
        <xdr:cNvPr id="457" name="Text Box 15"/>
        <xdr:cNvSpPr txBox="1">
          <a:spLocks noChangeArrowheads="1"/>
        </xdr:cNvSpPr>
      </xdr:nvSpPr>
      <xdr:spPr>
        <a:xfrm>
          <a:off x="2219325" y="100403025"/>
          <a:ext cx="2124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458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459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460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461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462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463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464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6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6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6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6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6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7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7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7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7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7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7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7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7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7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7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8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8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8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8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8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8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8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8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8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8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9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9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9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9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9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9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9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9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9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49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0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0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0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0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0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0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0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0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0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0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1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1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1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1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1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1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1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1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1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1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2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2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2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2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2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2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2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2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2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2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3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3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3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3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3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3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3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3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3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3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4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4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4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4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4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4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4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4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4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4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5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5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5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5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5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5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5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5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5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5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6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561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562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563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564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565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1666875</xdr:colOff>
      <xdr:row>492</xdr:row>
      <xdr:rowOff>0</xdr:rowOff>
    </xdr:from>
    <xdr:ext cx="2124075" cy="323850"/>
    <xdr:sp fLocksText="0">
      <xdr:nvSpPr>
        <xdr:cNvPr id="566" name="Text Box 15"/>
        <xdr:cNvSpPr txBox="1">
          <a:spLocks noChangeArrowheads="1"/>
        </xdr:cNvSpPr>
      </xdr:nvSpPr>
      <xdr:spPr>
        <a:xfrm>
          <a:off x="2219325" y="100403025"/>
          <a:ext cx="2124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567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568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569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570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571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572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573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574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575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576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577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578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1666875</xdr:colOff>
      <xdr:row>492</xdr:row>
      <xdr:rowOff>0</xdr:rowOff>
    </xdr:from>
    <xdr:ext cx="2124075" cy="323850"/>
    <xdr:sp fLocksText="0">
      <xdr:nvSpPr>
        <xdr:cNvPr id="579" name="Text Box 15"/>
        <xdr:cNvSpPr txBox="1">
          <a:spLocks noChangeArrowheads="1"/>
        </xdr:cNvSpPr>
      </xdr:nvSpPr>
      <xdr:spPr>
        <a:xfrm>
          <a:off x="2219325" y="100403025"/>
          <a:ext cx="2124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580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581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582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583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584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585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586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8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8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8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9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9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9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9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9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9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9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9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9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59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0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0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0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0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0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0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0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0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0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0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1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1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1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1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1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1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1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1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1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1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2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2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2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2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2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2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2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2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2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2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3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3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3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3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3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3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3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3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3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3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4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4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4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4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4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4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4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4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4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4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5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5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5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5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5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5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5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5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5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5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6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6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6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6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6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6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6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6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6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6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7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7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7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7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7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7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7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7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7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7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8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8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68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683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684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685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686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687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1666875</xdr:colOff>
      <xdr:row>492</xdr:row>
      <xdr:rowOff>0</xdr:rowOff>
    </xdr:from>
    <xdr:ext cx="2124075" cy="323850"/>
    <xdr:sp fLocksText="0">
      <xdr:nvSpPr>
        <xdr:cNvPr id="688" name="Text Box 15"/>
        <xdr:cNvSpPr txBox="1">
          <a:spLocks noChangeArrowheads="1"/>
        </xdr:cNvSpPr>
      </xdr:nvSpPr>
      <xdr:spPr>
        <a:xfrm>
          <a:off x="2219325" y="100403025"/>
          <a:ext cx="2124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689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690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691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692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693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694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695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696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697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698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699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700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1666875</xdr:colOff>
      <xdr:row>492</xdr:row>
      <xdr:rowOff>0</xdr:rowOff>
    </xdr:from>
    <xdr:ext cx="2124075" cy="323850"/>
    <xdr:sp fLocksText="0">
      <xdr:nvSpPr>
        <xdr:cNvPr id="701" name="Text Box 15"/>
        <xdr:cNvSpPr txBox="1">
          <a:spLocks noChangeArrowheads="1"/>
        </xdr:cNvSpPr>
      </xdr:nvSpPr>
      <xdr:spPr>
        <a:xfrm>
          <a:off x="2219325" y="100403025"/>
          <a:ext cx="2124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702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703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704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705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706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707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708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0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1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1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1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1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1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1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1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1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1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1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2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2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2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2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2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2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2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2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2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2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3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3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3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3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3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3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3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3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3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3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4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4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4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4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4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4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4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4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4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4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5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5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5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5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5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5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5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5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5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5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6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6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6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6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6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6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6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6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6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6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7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7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7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7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7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7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7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7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7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7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8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8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8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8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8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8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8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8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8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8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9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9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9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9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9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9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9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9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9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79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0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0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0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0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0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805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06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07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08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09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1666875</xdr:colOff>
      <xdr:row>492</xdr:row>
      <xdr:rowOff>0</xdr:rowOff>
    </xdr:from>
    <xdr:ext cx="2124075" cy="323850"/>
    <xdr:sp fLocksText="0">
      <xdr:nvSpPr>
        <xdr:cNvPr id="810" name="Text Box 15"/>
        <xdr:cNvSpPr txBox="1">
          <a:spLocks noChangeArrowheads="1"/>
        </xdr:cNvSpPr>
      </xdr:nvSpPr>
      <xdr:spPr>
        <a:xfrm>
          <a:off x="2219325" y="100403025"/>
          <a:ext cx="2124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11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12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13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14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815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16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817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818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19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20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21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22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1666875</xdr:colOff>
      <xdr:row>492</xdr:row>
      <xdr:rowOff>0</xdr:rowOff>
    </xdr:from>
    <xdr:ext cx="2124075" cy="323850"/>
    <xdr:sp fLocksText="0">
      <xdr:nvSpPr>
        <xdr:cNvPr id="823" name="Text Box 15"/>
        <xdr:cNvSpPr txBox="1">
          <a:spLocks noChangeArrowheads="1"/>
        </xdr:cNvSpPr>
      </xdr:nvSpPr>
      <xdr:spPr>
        <a:xfrm>
          <a:off x="2219325" y="100403025"/>
          <a:ext cx="2124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24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25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26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27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828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829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830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3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3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3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3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3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3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3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3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3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4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4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4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4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4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4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4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4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4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4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5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5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5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5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5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5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5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5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5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5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6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6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6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6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6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6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6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6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6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6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7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7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7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7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7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7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7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7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7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7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8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8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8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8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8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8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8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8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8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8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9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9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9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9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9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9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9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9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9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89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0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0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0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0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0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0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0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0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0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0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1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1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1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1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1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1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1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1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1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1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2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2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2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2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2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2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2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927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28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29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30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31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1666875</xdr:colOff>
      <xdr:row>492</xdr:row>
      <xdr:rowOff>0</xdr:rowOff>
    </xdr:from>
    <xdr:ext cx="2124075" cy="323850"/>
    <xdr:sp fLocksText="0">
      <xdr:nvSpPr>
        <xdr:cNvPr id="932" name="Text Box 15"/>
        <xdr:cNvSpPr txBox="1">
          <a:spLocks noChangeArrowheads="1"/>
        </xdr:cNvSpPr>
      </xdr:nvSpPr>
      <xdr:spPr>
        <a:xfrm>
          <a:off x="2219325" y="100403025"/>
          <a:ext cx="2124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33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34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35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36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937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38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939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940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41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42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43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44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1666875</xdr:colOff>
      <xdr:row>492</xdr:row>
      <xdr:rowOff>0</xdr:rowOff>
    </xdr:from>
    <xdr:ext cx="2124075" cy="323850"/>
    <xdr:sp fLocksText="0">
      <xdr:nvSpPr>
        <xdr:cNvPr id="945" name="Text Box 15"/>
        <xdr:cNvSpPr txBox="1">
          <a:spLocks noChangeArrowheads="1"/>
        </xdr:cNvSpPr>
      </xdr:nvSpPr>
      <xdr:spPr>
        <a:xfrm>
          <a:off x="2219325" y="100403025"/>
          <a:ext cx="2124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46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47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48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49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950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323850"/>
    <xdr:sp fLocksText="0">
      <xdr:nvSpPr>
        <xdr:cNvPr id="951" name="Text Box 15"/>
        <xdr:cNvSpPr txBox="1">
          <a:spLocks noChangeArrowheads="1"/>
        </xdr:cNvSpPr>
      </xdr:nvSpPr>
      <xdr:spPr>
        <a:xfrm>
          <a:off x="2162175" y="10040302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162175" cy="323850"/>
    <xdr:sp fLocksText="0">
      <xdr:nvSpPr>
        <xdr:cNvPr id="952" name="Text Box 15"/>
        <xdr:cNvSpPr txBox="1">
          <a:spLocks noChangeArrowheads="1"/>
        </xdr:cNvSpPr>
      </xdr:nvSpPr>
      <xdr:spPr>
        <a:xfrm>
          <a:off x="2181225" y="100403025"/>
          <a:ext cx="2162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5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5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5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5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5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5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5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6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6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6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6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6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6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6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67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68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69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70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71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72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73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74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75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492</xdr:row>
      <xdr:rowOff>0</xdr:rowOff>
    </xdr:from>
    <xdr:ext cx="2171700" cy="161925"/>
    <xdr:sp fLocksText="0">
      <xdr:nvSpPr>
        <xdr:cNvPr id="976" name="Text Box 15"/>
        <xdr:cNvSpPr txBox="1">
          <a:spLocks noChangeArrowheads="1"/>
        </xdr:cNvSpPr>
      </xdr:nvSpPr>
      <xdr:spPr>
        <a:xfrm>
          <a:off x="2162175" y="100403025"/>
          <a:ext cx="2171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77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78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79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80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81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82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83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84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85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86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87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88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89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90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91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92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93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94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95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96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97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98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999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00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01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02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03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04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05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06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07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08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09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10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11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12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13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14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15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16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17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18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19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20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21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22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23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24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25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26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27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28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29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30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31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32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33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34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35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36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37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38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39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40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41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42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43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44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45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46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47" name="Text Box 8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1628775</xdr:colOff>
      <xdr:row>492</xdr:row>
      <xdr:rowOff>0</xdr:rowOff>
    </xdr:from>
    <xdr:ext cx="2038350" cy="161925"/>
    <xdr:sp fLocksText="0">
      <xdr:nvSpPr>
        <xdr:cNvPr id="1048" name="Text Box 9"/>
        <xdr:cNvSpPr txBox="1">
          <a:spLocks noChangeArrowheads="1"/>
        </xdr:cNvSpPr>
      </xdr:nvSpPr>
      <xdr:spPr>
        <a:xfrm>
          <a:off x="2181225" y="100403025"/>
          <a:ext cx="2038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S-FS-05\Docs_Compartidos$\JOHANNY%20MERCEDES\yrma%20-%20teresaPRES.%20223-13ACUEDUCTO%20MULTIPLE%20%20DUVEAUX-EL%20LIMON,%20SAN%20CRISTOB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01\Mis%20Documentos%20(Costos)\ADDENDAS%20ABRIL%202004\143-04%20%20ADDENDA%20NO.%201%20AC.%20%20EL%20LIM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CUBICACION-NUEVA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5\ZONA%20II\Documents%20and%20Settings\CLAUDIA\Mis%20documentos\TRABAJO%20CLAUDIA\Garibaldy%20Bautista%20(actualizaciones)\analisis%20el%20pino%20junumuc&#25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Resort%20Bahia%20Estela%20Caribe\My%20Documents\Brian's%20Documents\RESIDENCIAL%20APARTAMENTOS\ROMANA%20DEL%20OESTE\Plaza%20Columbus\WINPROJ\Cespedes\Fiesta\Fiesta%20Area%20de%20Espectaculo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PROYECTO%20PUCMM\BASE%20DATOS%20PARA%20ANALISIS\BASE%20DATOS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Documents%20and%20Settings\FRED\Mis%20documentos\ARCHIVOS%20PERSONALES\FRED\FRANCISCO\PRESUPUESTO%20MELLIZAS_2_NIVELES_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Mis%20Documentos\Mis%20archivos%20recibidos\VillaVinicioCastillo(1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Escuelas%20Publicas\Escuelas%20Armenteros%20Tony%20Hernandez\LOLIN%20NAVE%20PTA%20CA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S-FS-05\Docs_Compartidos$\CARPETA%20MEYVER%20PUJOLS\CASETAS%20DE%20CLORO\CASETA%20DE%20CLORADORES%20150%20lb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TRABAJOS\Transfer\Costos\Proyectos\Galerias\presup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PROYECTO%20TERMINACION%20SOFTBALL%20COJPD\PRESUPUESTO%20MODIFICADO\PRESUPUESTO_FEDOSA_14NOV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rolproyecto\FORTUNA%20(E)\backup\DATOS\Zona4-B\Monte%20Plata\Ac.%20Las%20Guazumas%20Parte%20A-ING.%20INOCENCIO%20GUZMAN%20PEREZ\CUB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LAS%20GUARANAS%20FINAL2\Documents%20and%20Settings\dell2\Escritorio\Mis%20documentos\presupuestos%202006\85-06%20Reh.%20y%20Ampl.%20Ac.%20Imbert%20(2da.%20alternativa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BASE%20DATOS%20PARA%20ANALISIS\BASE%20DATOS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S-FS-05\Docs_Compartidos$\CARPETA%20MEYVER%20PUJOLS\CASETAS%20DE%20CLORO\PROYECTO\IMBERT_PEAD_21abr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58\pc%20elvita\Documents%20and%20Settings\Costos_01\Desktop\LOMA%20CABRRERA\MOD.%20223-09%20TRABAJOS%20faltantes%20AC.%20LOMA%20DE%20CABRER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LAS%20GUARANAS%20FINAL2\Documents%20and%20Settings\dell2\Escritorio\ING.%20MARIA%20MORALES\desmonte,%20corte,%20cargio,%20empuje,%20ingenier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S-FS-05\Docs_Compartidos$\CARPETA%20MEYVER%20PUJOLS\CASETAS%20DE%20CLORO\JARABACOA\AC.%20JARABACOA\30-06%20TERMINACION%20REHAB.Y%20AMP.AC.JARABACOA%20PARTE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ALISIS"/>
      <sheetName val="MOV. TIERRA"/>
      <sheetName val="CONTEO"/>
    </sheetNames>
    <sheetDataSet>
      <sheetData sheetId="1">
        <row r="275">
          <cell r="E275">
            <v>2645.66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</sheetNames>
    <sheetDataSet>
      <sheetData sheetId="0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34.42622950819673</v>
          </cell>
        </row>
        <row r="104">
          <cell r="B104">
            <v>7</v>
          </cell>
        </row>
      </sheetData>
      <sheetData sheetId="1">
        <row r="11">
          <cell r="B11">
            <v>1140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>
        <row r="9">
          <cell r="C9">
            <v>1525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>
        <row r="767">
          <cell r="D767">
            <v>20</v>
          </cell>
        </row>
        <row r="770">
          <cell r="D770">
            <v>45.14</v>
          </cell>
        </row>
      </sheetData>
      <sheetData sheetId="1">
        <row r="10">
          <cell r="C10">
            <v>350</v>
          </cell>
        </row>
      </sheetData>
      <sheetData sheetId="3">
        <row r="212">
          <cell r="H212">
            <v>2563.429546981596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. DE TERM. 2010"/>
      <sheetName val="ANALISIS 2010 "/>
      <sheetName val="ACCESORIOS "/>
      <sheetName val="Módulo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 MOVIMIENTO DE TIERRA EQUIP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BASE"/>
      <sheetName val="PRESUPUESTO PARTE A"/>
      <sheetName val="INSUMOS  (2)"/>
      <sheetName val="Analisis 2006"/>
      <sheetName val="Mó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5"/>
  <sheetViews>
    <sheetView view="pageBreakPreview" zoomScaleSheetLayoutView="100" zoomScalePageLayoutView="0" workbookViewId="0" topLeftCell="A349">
      <selection activeCell="B367" sqref="B367"/>
    </sheetView>
  </sheetViews>
  <sheetFormatPr defaultColWidth="11.421875" defaultRowHeight="12.75"/>
  <cols>
    <col min="1" max="1" width="0.71875" style="2" customWidth="1"/>
    <col min="2" max="2" width="42.28125" style="2" customWidth="1"/>
    <col min="3" max="3" width="12.7109375" style="153" customWidth="1"/>
    <col min="4" max="4" width="7.8515625" style="209" customWidth="1"/>
    <col min="5" max="5" width="15.8515625" style="153" customWidth="1"/>
    <col min="6" max="6" width="14.140625" style="153" customWidth="1"/>
    <col min="7" max="7" width="3.00390625" style="2" customWidth="1"/>
    <col min="8" max="8" width="10.140625" style="3" customWidth="1"/>
    <col min="9" max="9" width="13.28125" style="3" customWidth="1"/>
    <col min="10" max="10" width="10.28125" style="3" customWidth="1"/>
    <col min="11" max="11" width="8.421875" style="4" customWidth="1"/>
    <col min="12" max="12" width="11.421875" style="4" customWidth="1"/>
    <col min="13" max="13" width="12.7109375" style="4" customWidth="1"/>
    <col min="14" max="16384" width="11.421875" style="4" customWidth="1"/>
  </cols>
  <sheetData>
    <row r="1" spans="1:6" ht="16.5" thickTop="1">
      <c r="A1" s="1"/>
      <c r="B1" s="1408" t="s">
        <v>4</v>
      </c>
      <c r="C1" s="1409"/>
      <c r="D1" s="1409"/>
      <c r="E1" s="1409"/>
      <c r="F1" s="1410"/>
    </row>
    <row r="2" spans="1:10" s="8" customFormat="1" ht="17.25" customHeight="1">
      <c r="A2" s="5"/>
      <c r="B2" s="1411" t="s">
        <v>363</v>
      </c>
      <c r="C2" s="1412"/>
      <c r="D2" s="1412"/>
      <c r="E2" s="1412"/>
      <c r="F2" s="1413"/>
      <c r="G2" s="6"/>
      <c r="H2" s="7"/>
      <c r="I2" s="7"/>
      <c r="J2" s="7"/>
    </row>
    <row r="3" spans="1:10" s="8" customFormat="1" ht="15" customHeight="1">
      <c r="A3" s="5"/>
      <c r="B3" s="1414" t="s">
        <v>411</v>
      </c>
      <c r="C3" s="1415"/>
      <c r="D3" s="1415"/>
      <c r="E3" s="1415"/>
      <c r="F3" s="1416"/>
      <c r="G3" s="6"/>
      <c r="H3" s="7"/>
      <c r="I3" s="7"/>
      <c r="J3" s="7"/>
    </row>
    <row r="4" spans="1:10" s="8" customFormat="1" ht="15" customHeight="1">
      <c r="A4" s="5"/>
      <c r="B4" s="1414" t="s">
        <v>367</v>
      </c>
      <c r="C4" s="1415"/>
      <c r="D4" s="1415"/>
      <c r="E4" s="1415"/>
      <c r="F4" s="1416"/>
      <c r="G4" s="6"/>
      <c r="H4" s="7"/>
      <c r="I4" s="7"/>
      <c r="J4" s="7"/>
    </row>
    <row r="5" spans="1:10" s="8" customFormat="1" ht="15" customHeight="1">
      <c r="A5" s="5"/>
      <c r="B5" s="1414"/>
      <c r="C5" s="1415"/>
      <c r="D5" s="1415"/>
      <c r="E5" s="1415"/>
      <c r="F5" s="1416"/>
      <c r="G5" s="6"/>
      <c r="H5" s="7"/>
      <c r="I5" s="7"/>
      <c r="J5" s="7"/>
    </row>
    <row r="6" spans="1:10" s="8" customFormat="1" ht="15" customHeight="1">
      <c r="A6" s="5"/>
      <c r="B6" s="347" t="s">
        <v>414</v>
      </c>
      <c r="C6" s="343"/>
      <c r="D6" s="343"/>
      <c r="E6" s="343"/>
      <c r="F6" s="344"/>
      <c r="G6" s="6"/>
      <c r="H6" s="7"/>
      <c r="I6" s="7"/>
      <c r="J6" s="7"/>
    </row>
    <row r="7" spans="1:10" s="8" customFormat="1" ht="15" customHeight="1">
      <c r="A7" s="5"/>
      <c r="B7" s="1417" t="s">
        <v>524</v>
      </c>
      <c r="C7" s="1418"/>
      <c r="D7" s="1418"/>
      <c r="E7" s="350" t="s">
        <v>366</v>
      </c>
      <c r="F7" s="344"/>
      <c r="G7" s="6"/>
      <c r="H7" s="7"/>
      <c r="I7" s="7"/>
      <c r="J7" s="7"/>
    </row>
    <row r="8" spans="1:10" s="8" customFormat="1" ht="15" customHeight="1">
      <c r="A8" s="5"/>
      <c r="B8" s="348" t="s">
        <v>413</v>
      </c>
      <c r="C8" s="343"/>
      <c r="D8" s="343"/>
      <c r="E8" s="350" t="s">
        <v>343</v>
      </c>
      <c r="F8" s="367" t="s">
        <v>338</v>
      </c>
      <c r="G8" s="6"/>
      <c r="H8" s="7"/>
      <c r="I8" s="7"/>
      <c r="J8" s="7"/>
    </row>
    <row r="9" spans="2:10" s="8" customFormat="1" ht="15" customHeight="1" thickBot="1">
      <c r="B9" s="349" t="s">
        <v>364</v>
      </c>
      <c r="C9" s="345"/>
      <c r="D9" s="345"/>
      <c r="E9" s="351" t="s">
        <v>365</v>
      </c>
      <c r="F9" s="346"/>
      <c r="G9" s="6"/>
      <c r="H9" s="7"/>
      <c r="I9" s="7"/>
      <c r="J9" s="7"/>
    </row>
    <row r="10" spans="2:10" s="8" customFormat="1" ht="5.25" customHeight="1" thickBot="1" thickTop="1">
      <c r="B10" s="9"/>
      <c r="C10" s="9"/>
      <c r="D10" s="9"/>
      <c r="E10" s="9"/>
      <c r="F10" s="9"/>
      <c r="G10" s="6"/>
      <c r="H10" s="7"/>
      <c r="I10" s="7"/>
      <c r="J10" s="7"/>
    </row>
    <row r="11" spans="1:10" s="8" customFormat="1" ht="13.5" customHeight="1" thickBot="1" thickTop="1">
      <c r="A11" s="10"/>
      <c r="B11" s="604" t="s">
        <v>21</v>
      </c>
      <c r="C11" s="605" t="s">
        <v>18</v>
      </c>
      <c r="D11" s="604" t="s">
        <v>9</v>
      </c>
      <c r="E11" s="605" t="s">
        <v>22</v>
      </c>
      <c r="F11" s="605" t="s">
        <v>23</v>
      </c>
      <c r="G11" s="6"/>
      <c r="H11" s="7"/>
      <c r="I11" s="7"/>
      <c r="J11" s="7"/>
    </row>
    <row r="12" spans="1:15" ht="15" customHeight="1" thickBot="1" thickTop="1">
      <c r="A12" s="11"/>
      <c r="B12" s="606" t="s">
        <v>24</v>
      </c>
      <c r="C12" s="607">
        <v>1</v>
      </c>
      <c r="D12" s="608" t="s">
        <v>25</v>
      </c>
      <c r="E12" s="607">
        <v>2.5</v>
      </c>
      <c r="F12" s="607">
        <f>ROUND(C12*E12,2)</f>
        <v>2.5</v>
      </c>
      <c r="G12" s="12"/>
      <c r="H12" s="13"/>
      <c r="I12" s="14"/>
      <c r="J12" s="14"/>
      <c r="K12" s="15"/>
      <c r="L12" s="15"/>
      <c r="M12" s="15"/>
      <c r="N12" s="15"/>
      <c r="O12" s="15"/>
    </row>
    <row r="13" spans="2:15" ht="14.25" customHeight="1" thickBot="1" thickTop="1">
      <c r="B13" s="606" t="s">
        <v>26</v>
      </c>
      <c r="C13" s="607">
        <v>1</v>
      </c>
      <c r="D13" s="608" t="s">
        <v>27</v>
      </c>
      <c r="E13" s="607">
        <v>250</v>
      </c>
      <c r="F13" s="607">
        <f aca="true" t="shared" si="0" ref="F13:F20">ROUND(C13*E13,2)</f>
        <v>250</v>
      </c>
      <c r="G13" s="12"/>
      <c r="H13" s="13"/>
      <c r="I13" s="14"/>
      <c r="J13" s="14"/>
      <c r="K13" s="15"/>
      <c r="L13" s="15"/>
      <c r="M13" s="15"/>
      <c r="N13" s="15"/>
      <c r="O13" s="15"/>
    </row>
    <row r="14" spans="2:15" ht="15" customHeight="1" thickBot="1" thickTop="1">
      <c r="B14" s="606" t="s">
        <v>28</v>
      </c>
      <c r="C14" s="607">
        <v>1</v>
      </c>
      <c r="D14" s="608" t="s">
        <v>27</v>
      </c>
      <c r="E14" s="607">
        <v>100</v>
      </c>
      <c r="F14" s="607">
        <f t="shared" si="0"/>
        <v>100</v>
      </c>
      <c r="G14" s="12"/>
      <c r="H14" s="13"/>
      <c r="I14" s="14"/>
      <c r="J14" s="14"/>
      <c r="K14" s="15"/>
      <c r="L14" s="15"/>
      <c r="M14" s="15"/>
      <c r="N14" s="15"/>
      <c r="O14" s="15"/>
    </row>
    <row r="15" spans="2:15" ht="14.25" customHeight="1" thickBot="1" thickTop="1">
      <c r="B15" s="606" t="s">
        <v>29</v>
      </c>
      <c r="C15" s="607">
        <v>1</v>
      </c>
      <c r="D15" s="608" t="s">
        <v>7</v>
      </c>
      <c r="E15" s="607">
        <v>1000</v>
      </c>
      <c r="F15" s="607">
        <f t="shared" si="0"/>
        <v>1000</v>
      </c>
      <c r="G15" s="12"/>
      <c r="H15" s="13"/>
      <c r="I15" s="16">
        <f>732.76*1.18</f>
        <v>864.66</v>
      </c>
      <c r="J15" s="14"/>
      <c r="K15" s="15"/>
      <c r="L15" s="15"/>
      <c r="M15" s="15"/>
      <c r="N15" s="15"/>
      <c r="O15" s="15"/>
    </row>
    <row r="16" spans="2:15" ht="14.25" customHeight="1" thickBot="1" thickTop="1">
      <c r="B16" s="606" t="s">
        <v>30</v>
      </c>
      <c r="C16" s="607">
        <v>1</v>
      </c>
      <c r="D16" s="608" t="s">
        <v>7</v>
      </c>
      <c r="E16" s="607">
        <v>1350</v>
      </c>
      <c r="F16" s="607">
        <f t="shared" si="0"/>
        <v>1350</v>
      </c>
      <c r="G16" s="12"/>
      <c r="H16" s="13"/>
      <c r="I16" s="14">
        <v>100</v>
      </c>
      <c r="J16" s="14"/>
      <c r="K16" s="15"/>
      <c r="L16" s="15"/>
      <c r="M16" s="15"/>
      <c r="N16" s="15"/>
      <c r="O16" s="15"/>
    </row>
    <row r="17" spans="2:15" ht="14.25" customHeight="1" thickBot="1" thickTop="1">
      <c r="B17" s="606" t="s">
        <v>31</v>
      </c>
      <c r="C17" s="607">
        <v>1</v>
      </c>
      <c r="D17" s="608" t="s">
        <v>7</v>
      </c>
      <c r="E17" s="607">
        <v>1500</v>
      </c>
      <c r="F17" s="607">
        <f t="shared" si="0"/>
        <v>1500</v>
      </c>
      <c r="G17" s="12"/>
      <c r="H17" s="13"/>
      <c r="I17" s="14">
        <f>I16+I15</f>
        <v>964.7</v>
      </c>
      <c r="J17" s="14"/>
      <c r="K17" s="15"/>
      <c r="L17" s="15"/>
      <c r="M17" s="15"/>
      <c r="N17" s="15"/>
      <c r="O17" s="15"/>
    </row>
    <row r="18" spans="1:15" ht="15" customHeight="1" thickBot="1" thickTop="1">
      <c r="A18" s="11"/>
      <c r="B18" s="606" t="s">
        <v>32</v>
      </c>
      <c r="C18" s="607">
        <v>1</v>
      </c>
      <c r="D18" s="608" t="s">
        <v>33</v>
      </c>
      <c r="E18" s="607">
        <v>2450</v>
      </c>
      <c r="F18" s="607">
        <f t="shared" si="0"/>
        <v>2450</v>
      </c>
      <c r="G18" s="12"/>
      <c r="H18" s="13"/>
      <c r="I18" s="14"/>
      <c r="J18" s="14"/>
      <c r="K18" s="15"/>
      <c r="L18" s="15"/>
      <c r="M18" s="15"/>
      <c r="N18" s="15"/>
      <c r="O18" s="15"/>
    </row>
    <row r="19" spans="1:15" ht="15" customHeight="1" thickBot="1" thickTop="1">
      <c r="A19" s="11"/>
      <c r="B19" s="606" t="s">
        <v>34</v>
      </c>
      <c r="C19" s="607">
        <v>1</v>
      </c>
      <c r="D19" s="608" t="s">
        <v>35</v>
      </c>
      <c r="E19" s="607">
        <v>14</v>
      </c>
      <c r="F19" s="607">
        <f t="shared" si="0"/>
        <v>14</v>
      </c>
      <c r="G19" s="12"/>
      <c r="H19" s="13"/>
      <c r="I19" s="14"/>
      <c r="J19" s="14"/>
      <c r="K19" s="15"/>
      <c r="L19" s="15"/>
      <c r="M19" s="15"/>
      <c r="N19" s="15"/>
      <c r="O19" s="15"/>
    </row>
    <row r="20" spans="1:15" ht="15.75" customHeight="1" thickBot="1" thickTop="1">
      <c r="A20" s="11"/>
      <c r="B20" s="606" t="s">
        <v>415</v>
      </c>
      <c r="C20" s="607">
        <v>8</v>
      </c>
      <c r="D20" s="608" t="s">
        <v>35</v>
      </c>
      <c r="E20" s="607">
        <v>1</v>
      </c>
      <c r="F20" s="607">
        <f t="shared" si="0"/>
        <v>8</v>
      </c>
      <c r="G20" s="12"/>
      <c r="H20" s="13"/>
      <c r="I20" s="100"/>
      <c r="J20" s="14"/>
      <c r="K20" s="15"/>
      <c r="L20" s="15"/>
      <c r="M20" s="15"/>
      <c r="N20" s="15"/>
      <c r="O20" s="15"/>
    </row>
    <row r="21" spans="2:15" ht="14.25" customHeight="1" thickTop="1">
      <c r="B21" s="609"/>
      <c r="C21" s="610"/>
      <c r="D21" s="611"/>
      <c r="E21" s="610"/>
      <c r="F21" s="610"/>
      <c r="G21" s="15"/>
      <c r="H21" s="14"/>
      <c r="I21" s="14"/>
      <c r="J21" s="14"/>
      <c r="K21" s="15"/>
      <c r="L21" s="15"/>
      <c r="M21" s="15"/>
      <c r="N21" s="15"/>
      <c r="O21" s="15"/>
    </row>
    <row r="22" spans="1:15" ht="12.75" customHeight="1" thickBot="1">
      <c r="A22" s="11"/>
      <c r="B22" s="612" t="s">
        <v>36</v>
      </c>
      <c r="C22" s="610"/>
      <c r="D22" s="609"/>
      <c r="E22" s="610"/>
      <c r="F22" s="610"/>
      <c r="G22" s="15"/>
      <c r="H22" s="14"/>
      <c r="I22" s="19"/>
      <c r="J22" s="19"/>
      <c r="K22" s="20"/>
      <c r="L22" s="20"/>
      <c r="M22" s="20"/>
      <c r="N22" s="20"/>
      <c r="O22" s="15"/>
    </row>
    <row r="23" spans="2:15" ht="12.75" customHeight="1" thickTop="1">
      <c r="B23" s="613" t="s">
        <v>37</v>
      </c>
      <c r="C23" s="614">
        <v>1</v>
      </c>
      <c r="D23" s="615" t="s">
        <v>7</v>
      </c>
      <c r="E23" s="616">
        <f>+F15</f>
        <v>1000</v>
      </c>
      <c r="F23" s="617">
        <f>ROUND(C23*E23,2)</f>
        <v>1000</v>
      </c>
      <c r="G23" s="12"/>
      <c r="H23" s="14"/>
      <c r="I23" s="19"/>
      <c r="J23" s="19"/>
      <c r="K23" s="24"/>
      <c r="L23" s="24"/>
      <c r="M23" s="25"/>
      <c r="N23" s="20"/>
      <c r="O23" s="15"/>
    </row>
    <row r="24" spans="2:15" ht="12.75" customHeight="1">
      <c r="B24" s="618" t="s">
        <v>38</v>
      </c>
      <c r="C24" s="619">
        <f>F20</f>
        <v>8</v>
      </c>
      <c r="D24" s="620" t="s">
        <v>35</v>
      </c>
      <c r="E24" s="621"/>
      <c r="F24" s="622">
        <f>ROUND(C24*E24,2)</f>
        <v>0</v>
      </c>
      <c r="G24" s="12"/>
      <c r="H24" s="14"/>
      <c r="I24" s="19"/>
      <c r="J24" s="19"/>
      <c r="K24" s="24"/>
      <c r="L24" s="24"/>
      <c r="M24" s="25"/>
      <c r="N24" s="20"/>
      <c r="O24" s="15"/>
    </row>
    <row r="25" spans="2:15" ht="12.75" customHeight="1">
      <c r="B25" s="623" t="s">
        <v>39</v>
      </c>
      <c r="C25" s="624">
        <v>1</v>
      </c>
      <c r="D25" s="625" t="s">
        <v>7</v>
      </c>
      <c r="E25" s="626">
        <v>12</v>
      </c>
      <c r="F25" s="622">
        <f>ROUND(C25*E25,2)</f>
        <v>12</v>
      </c>
      <c r="G25" s="29"/>
      <c r="H25" s="14"/>
      <c r="I25" s="19"/>
      <c r="J25" s="19"/>
      <c r="K25" s="24"/>
      <c r="L25" s="24"/>
      <c r="M25" s="25"/>
      <c r="N25" s="20"/>
      <c r="O25" s="15"/>
    </row>
    <row r="26" spans="2:15" ht="12.75" customHeight="1" thickBot="1">
      <c r="B26" s="627"/>
      <c r="C26" s="628"/>
      <c r="D26" s="629"/>
      <c r="E26" s="630" t="s">
        <v>40</v>
      </c>
      <c r="F26" s="631">
        <f>SUM(F23:F25)</f>
        <v>1012</v>
      </c>
      <c r="G26" s="32"/>
      <c r="H26" s="14"/>
      <c r="I26" s="19"/>
      <c r="J26" s="33"/>
      <c r="K26" s="24"/>
      <c r="L26" s="24"/>
      <c r="M26" s="24"/>
      <c r="N26" s="20"/>
      <c r="O26" s="15"/>
    </row>
    <row r="27" spans="2:15" ht="12.75" customHeight="1" thickTop="1">
      <c r="B27" s="609"/>
      <c r="C27" s="610"/>
      <c r="D27" s="611"/>
      <c r="E27" s="610"/>
      <c r="F27" s="610"/>
      <c r="G27" s="15"/>
      <c r="H27" s="14"/>
      <c r="I27" s="19"/>
      <c r="J27" s="19"/>
      <c r="K27" s="20"/>
      <c r="L27" s="20"/>
      <c r="M27" s="20"/>
      <c r="N27" s="20"/>
      <c r="O27" s="15"/>
    </row>
    <row r="28" spans="2:15" ht="12.75" customHeight="1" thickBot="1">
      <c r="B28" s="612" t="s">
        <v>41</v>
      </c>
      <c r="C28" s="610"/>
      <c r="D28" s="609"/>
      <c r="E28" s="610"/>
      <c r="F28" s="610"/>
      <c r="G28" s="15"/>
      <c r="H28" s="14"/>
      <c r="I28" s="19"/>
      <c r="J28" s="19"/>
      <c r="K28" s="20"/>
      <c r="L28" s="20"/>
      <c r="M28" s="20"/>
      <c r="N28" s="20"/>
      <c r="O28" s="15"/>
    </row>
    <row r="29" spans="2:15" ht="12.75" customHeight="1" thickTop="1">
      <c r="B29" s="613" t="s">
        <v>37</v>
      </c>
      <c r="C29" s="614">
        <v>1</v>
      </c>
      <c r="D29" s="615" t="s">
        <v>7</v>
      </c>
      <c r="E29" s="616">
        <f>+F16</f>
        <v>1350</v>
      </c>
      <c r="F29" s="632">
        <f>ROUND(C29*E29,2)</f>
        <v>1350</v>
      </c>
      <c r="G29" s="12"/>
      <c r="H29" s="14"/>
      <c r="I29" s="19"/>
      <c r="J29" s="19"/>
      <c r="K29" s="24"/>
      <c r="L29" s="24"/>
      <c r="M29" s="34"/>
      <c r="N29" s="20"/>
      <c r="O29" s="15"/>
    </row>
    <row r="30" spans="2:15" ht="12.75" customHeight="1">
      <c r="B30" s="618" t="s">
        <v>38</v>
      </c>
      <c r="C30" s="619">
        <f>F20</f>
        <v>8</v>
      </c>
      <c r="D30" s="620" t="s">
        <v>35</v>
      </c>
      <c r="E30" s="621"/>
      <c r="F30" s="622">
        <f>ROUND(C30*E30,2)</f>
        <v>0</v>
      </c>
      <c r="G30" s="12"/>
      <c r="H30" s="14"/>
      <c r="I30" s="19"/>
      <c r="J30" s="19"/>
      <c r="K30" s="24"/>
      <c r="L30" s="24"/>
      <c r="M30" s="34"/>
      <c r="N30" s="20"/>
      <c r="O30" s="15"/>
    </row>
    <row r="31" spans="2:15" ht="12.75" customHeight="1">
      <c r="B31" s="623" t="s">
        <v>39</v>
      </c>
      <c r="C31" s="624">
        <v>1</v>
      </c>
      <c r="D31" s="625" t="s">
        <v>7</v>
      </c>
      <c r="E31" s="626">
        <v>12</v>
      </c>
      <c r="F31" s="622">
        <f>ROUND(C31*E31,2)</f>
        <v>12</v>
      </c>
      <c r="G31" s="29"/>
      <c r="H31" s="14"/>
      <c r="I31" s="19"/>
      <c r="J31" s="19"/>
      <c r="K31" s="24"/>
      <c r="L31" s="24"/>
      <c r="M31" s="34"/>
      <c r="N31" s="20"/>
      <c r="O31" s="15"/>
    </row>
    <row r="32" spans="2:15" ht="12.75" customHeight="1" thickBot="1">
      <c r="B32" s="633"/>
      <c r="C32" s="628"/>
      <c r="D32" s="629"/>
      <c r="E32" s="630" t="s">
        <v>40</v>
      </c>
      <c r="F32" s="634">
        <f>SUM(F29:F31)</f>
        <v>1362</v>
      </c>
      <c r="G32" s="36"/>
      <c r="H32" s="14"/>
      <c r="I32" s="19"/>
      <c r="J32" s="33"/>
      <c r="K32" s="24"/>
      <c r="L32" s="24"/>
      <c r="M32" s="24"/>
      <c r="N32" s="20"/>
      <c r="O32" s="15"/>
    </row>
    <row r="33" spans="2:15" ht="12.75" customHeight="1" thickTop="1">
      <c r="B33" s="635"/>
      <c r="C33" s="636"/>
      <c r="D33" s="637"/>
      <c r="E33" s="638"/>
      <c r="F33" s="639"/>
      <c r="G33" s="36"/>
      <c r="H33" s="14"/>
      <c r="I33" s="19"/>
      <c r="J33" s="33"/>
      <c r="K33" s="24"/>
      <c r="L33" s="24"/>
      <c r="M33" s="24"/>
      <c r="N33" s="20"/>
      <c r="O33" s="15"/>
    </row>
    <row r="34" spans="2:15" ht="12.75" customHeight="1" thickBot="1">
      <c r="B34" s="612" t="s">
        <v>42</v>
      </c>
      <c r="C34" s="610"/>
      <c r="D34" s="609"/>
      <c r="E34" s="610"/>
      <c r="F34" s="610"/>
      <c r="G34" s="36"/>
      <c r="H34" s="14"/>
      <c r="I34" s="14"/>
      <c r="J34" s="39"/>
      <c r="K34" s="29"/>
      <c r="L34" s="29"/>
      <c r="M34" s="32"/>
      <c r="N34" s="15"/>
      <c r="O34" s="15"/>
    </row>
    <row r="35" spans="2:15" ht="12.75" customHeight="1" thickTop="1">
      <c r="B35" s="613" t="s">
        <v>29</v>
      </c>
      <c r="C35" s="614">
        <v>0.45</v>
      </c>
      <c r="D35" s="640" t="s">
        <v>7</v>
      </c>
      <c r="E35" s="616">
        <f>F26</f>
        <v>1012</v>
      </c>
      <c r="F35" s="632">
        <f>ROUND(C35*E35,2)</f>
        <v>455.4</v>
      </c>
      <c r="G35" s="36"/>
      <c r="H35" s="14"/>
      <c r="I35" s="14"/>
      <c r="J35" s="39"/>
      <c r="K35" s="29"/>
      <c r="L35" s="29"/>
      <c r="M35" s="32"/>
      <c r="N35" s="15"/>
      <c r="O35" s="15"/>
    </row>
    <row r="36" spans="2:15" ht="12.75" customHeight="1">
      <c r="B36" s="623" t="s">
        <v>30</v>
      </c>
      <c r="C36" s="624">
        <v>0.9</v>
      </c>
      <c r="D36" s="641" t="s">
        <v>7</v>
      </c>
      <c r="E36" s="626">
        <f>F32</f>
        <v>1362</v>
      </c>
      <c r="F36" s="622">
        <f>ROUND(C36*E36,2)</f>
        <v>1225.8</v>
      </c>
      <c r="G36" s="36"/>
      <c r="H36" s="14"/>
      <c r="I36" s="14"/>
      <c r="J36" s="39"/>
      <c r="K36" s="29"/>
      <c r="L36" s="29"/>
      <c r="M36" s="32"/>
      <c r="N36" s="15"/>
      <c r="O36" s="15"/>
    </row>
    <row r="37" spans="2:15" ht="12.75" customHeight="1">
      <c r="B37" s="623" t="s">
        <v>43</v>
      </c>
      <c r="C37" s="624">
        <v>13</v>
      </c>
      <c r="D37" s="641" t="s">
        <v>44</v>
      </c>
      <c r="E37" s="626">
        <f>F13</f>
        <v>250</v>
      </c>
      <c r="F37" s="622">
        <f>ROUND(C37*E37,2)</f>
        <v>3250</v>
      </c>
      <c r="G37" s="36"/>
      <c r="H37" s="14"/>
      <c r="I37" s="14"/>
      <c r="J37" s="39"/>
      <c r="K37" s="29"/>
      <c r="L37" s="29"/>
      <c r="M37" s="32"/>
      <c r="N37" s="15"/>
      <c r="O37" s="15"/>
    </row>
    <row r="38" spans="2:15" ht="12.75" customHeight="1">
      <c r="B38" s="623" t="s">
        <v>24</v>
      </c>
      <c r="C38" s="624">
        <v>60</v>
      </c>
      <c r="D38" s="641" t="s">
        <v>10</v>
      </c>
      <c r="E38" s="626">
        <f>F12</f>
        <v>2.5</v>
      </c>
      <c r="F38" s="622">
        <f>ROUND(C38*E38,2)</f>
        <v>150</v>
      </c>
      <c r="G38" s="36"/>
      <c r="H38" s="14"/>
      <c r="I38" s="14"/>
      <c r="J38" s="39"/>
      <c r="K38" s="29"/>
      <c r="L38" s="29"/>
      <c r="M38" s="32"/>
      <c r="N38" s="15"/>
      <c r="O38" s="15"/>
    </row>
    <row r="39" spans="2:15" ht="12.75" customHeight="1">
      <c r="B39" s="623" t="s">
        <v>45</v>
      </c>
      <c r="C39" s="624">
        <v>1</v>
      </c>
      <c r="D39" s="641" t="s">
        <v>7</v>
      </c>
      <c r="E39" s="626">
        <v>800</v>
      </c>
      <c r="F39" s="622">
        <f>ROUND(C39*E39,2)</f>
        <v>800</v>
      </c>
      <c r="G39" s="36"/>
      <c r="H39" s="14"/>
      <c r="I39" s="14"/>
      <c r="J39" s="39"/>
      <c r="K39" s="29"/>
      <c r="L39" s="29"/>
      <c r="M39" s="32"/>
      <c r="N39" s="15"/>
      <c r="O39" s="15"/>
    </row>
    <row r="40" spans="2:15" ht="12.75" customHeight="1">
      <c r="B40" s="623" t="s">
        <v>46</v>
      </c>
      <c r="C40" s="624"/>
      <c r="D40" s="641"/>
      <c r="E40" s="624"/>
      <c r="F40" s="642">
        <f>SUM(F35+F36+F37+F38)*0.02</f>
        <v>101.62</v>
      </c>
      <c r="G40" s="36"/>
      <c r="H40" s="14"/>
      <c r="I40" s="14"/>
      <c r="J40" s="39"/>
      <c r="K40" s="29"/>
      <c r="L40" s="29"/>
      <c r="M40" s="32"/>
      <c r="N40" s="15"/>
      <c r="O40" s="15"/>
    </row>
    <row r="41" spans="2:15" ht="12.75" customHeight="1" thickBot="1">
      <c r="B41" s="633"/>
      <c r="C41" s="643"/>
      <c r="D41" s="644"/>
      <c r="E41" s="645" t="s">
        <v>47</v>
      </c>
      <c r="F41" s="646">
        <f>SUM(F35:F40)</f>
        <v>5982.82</v>
      </c>
      <c r="G41" s="36"/>
      <c r="H41" s="14"/>
      <c r="I41" s="14"/>
      <c r="J41" s="39"/>
      <c r="K41" s="29"/>
      <c r="L41" s="29"/>
      <c r="M41" s="32"/>
      <c r="N41" s="15"/>
      <c r="O41" s="15"/>
    </row>
    <row r="42" spans="2:15" ht="12.75" customHeight="1" thickTop="1">
      <c r="B42" s="635"/>
      <c r="C42" s="636"/>
      <c r="D42" s="637"/>
      <c r="E42" s="638"/>
      <c r="F42" s="639"/>
      <c r="G42" s="36"/>
      <c r="H42" s="14"/>
      <c r="I42" s="14"/>
      <c r="J42" s="39"/>
      <c r="K42" s="29"/>
      <c r="L42" s="29"/>
      <c r="M42" s="32"/>
      <c r="N42" s="15"/>
      <c r="O42" s="15"/>
    </row>
    <row r="43" spans="2:15" ht="12.75" customHeight="1" thickBot="1">
      <c r="B43" s="612" t="s">
        <v>48</v>
      </c>
      <c r="C43" s="610"/>
      <c r="D43" s="609"/>
      <c r="E43" s="610"/>
      <c r="F43" s="610"/>
      <c r="G43" s="36"/>
      <c r="H43" s="14"/>
      <c r="I43" s="14"/>
      <c r="J43" s="39"/>
      <c r="K43" s="29"/>
      <c r="L43" s="29"/>
      <c r="M43" s="32"/>
      <c r="N43" s="15"/>
      <c r="O43" s="15"/>
    </row>
    <row r="44" spans="2:15" ht="12.75" customHeight="1" thickTop="1">
      <c r="B44" s="613" t="s">
        <v>29</v>
      </c>
      <c r="C44" s="614">
        <v>0.45</v>
      </c>
      <c r="D44" s="640" t="s">
        <v>7</v>
      </c>
      <c r="E44" s="614">
        <f>F26</f>
        <v>1012</v>
      </c>
      <c r="F44" s="632">
        <f>ROUND(C44*E44,2)</f>
        <v>455.4</v>
      </c>
      <c r="G44" s="36"/>
      <c r="H44" s="14"/>
      <c r="I44" s="14"/>
      <c r="J44" s="39"/>
      <c r="K44" s="29"/>
      <c r="L44" s="29"/>
      <c r="M44" s="32"/>
      <c r="N44" s="15"/>
      <c r="O44" s="15"/>
    </row>
    <row r="45" spans="2:15" ht="12.75" customHeight="1">
      <c r="B45" s="623" t="s">
        <v>30</v>
      </c>
      <c r="C45" s="624">
        <v>0.9</v>
      </c>
      <c r="D45" s="641" t="s">
        <v>7</v>
      </c>
      <c r="E45" s="624">
        <f>F32</f>
        <v>1362</v>
      </c>
      <c r="F45" s="622">
        <f>ROUND(C45*E45,2)</f>
        <v>1225.8</v>
      </c>
      <c r="G45" s="36"/>
      <c r="H45" s="14"/>
      <c r="I45" s="14"/>
      <c r="J45" s="39"/>
      <c r="K45" s="29"/>
      <c r="L45" s="29"/>
      <c r="M45" s="32"/>
      <c r="N45" s="15"/>
      <c r="O45" s="15"/>
    </row>
    <row r="46" spans="2:15" ht="12.75" customHeight="1">
      <c r="B46" s="623" t="s">
        <v>43</v>
      </c>
      <c r="C46" s="624">
        <v>9</v>
      </c>
      <c r="D46" s="641" t="s">
        <v>44</v>
      </c>
      <c r="E46" s="624">
        <f>F13</f>
        <v>250</v>
      </c>
      <c r="F46" s="622">
        <f>ROUND(C46*E46,2)</f>
        <v>2250</v>
      </c>
      <c r="G46" s="36"/>
      <c r="H46" s="14"/>
      <c r="I46" s="14"/>
      <c r="J46" s="39"/>
      <c r="K46" s="29"/>
      <c r="L46" s="29"/>
      <c r="M46" s="32"/>
      <c r="N46" s="15"/>
      <c r="O46" s="15"/>
    </row>
    <row r="47" spans="2:15" ht="12.75" customHeight="1">
      <c r="B47" s="623" t="s">
        <v>24</v>
      </c>
      <c r="C47" s="624">
        <v>60</v>
      </c>
      <c r="D47" s="641" t="s">
        <v>10</v>
      </c>
      <c r="E47" s="624">
        <f>F12</f>
        <v>2.5</v>
      </c>
      <c r="F47" s="622">
        <f>ROUND(C47*E47,2)</f>
        <v>150</v>
      </c>
      <c r="G47" s="36"/>
      <c r="H47" s="14"/>
      <c r="I47" s="14"/>
      <c r="J47" s="39"/>
      <c r="K47" s="29"/>
      <c r="L47" s="29"/>
      <c r="M47" s="32"/>
      <c r="N47" s="15"/>
      <c r="O47" s="15"/>
    </row>
    <row r="48" spans="2:15" ht="12.75" customHeight="1">
      <c r="B48" s="623" t="s">
        <v>45</v>
      </c>
      <c r="C48" s="624">
        <v>1</v>
      </c>
      <c r="D48" s="641" t="s">
        <v>7</v>
      </c>
      <c r="E48" s="624">
        <v>800</v>
      </c>
      <c r="F48" s="622">
        <f>ROUND(C48*E48,2)</f>
        <v>800</v>
      </c>
      <c r="G48" s="36"/>
      <c r="H48" s="14"/>
      <c r="I48" s="14"/>
      <c r="J48" s="39"/>
      <c r="K48" s="29"/>
      <c r="L48" s="29"/>
      <c r="M48" s="32"/>
      <c r="N48" s="15"/>
      <c r="O48" s="15"/>
    </row>
    <row r="49" spans="2:15" ht="12.75" customHeight="1">
      <c r="B49" s="623" t="s">
        <v>46</v>
      </c>
      <c r="C49" s="624"/>
      <c r="D49" s="641"/>
      <c r="E49" s="624"/>
      <c r="F49" s="642">
        <f>SUM(F44+F45+F46+F47)*0.02</f>
        <v>81.62</v>
      </c>
      <c r="G49" s="36"/>
      <c r="H49" s="14"/>
      <c r="I49" s="14"/>
      <c r="J49" s="39"/>
      <c r="K49" s="29"/>
      <c r="L49" s="29"/>
      <c r="M49" s="32"/>
      <c r="N49" s="15"/>
      <c r="O49" s="15"/>
    </row>
    <row r="50" spans="2:15" ht="12.75" customHeight="1" thickBot="1">
      <c r="B50" s="633"/>
      <c r="C50" s="643"/>
      <c r="D50" s="644"/>
      <c r="E50" s="645" t="s">
        <v>47</v>
      </c>
      <c r="F50" s="646">
        <f>SUM(F44:F49)</f>
        <v>4962.82</v>
      </c>
      <c r="G50" s="36"/>
      <c r="H50" s="14"/>
      <c r="I50" s="14"/>
      <c r="J50" s="39"/>
      <c r="K50" s="29"/>
      <c r="L50" s="29"/>
      <c r="M50" s="32"/>
      <c r="N50" s="15"/>
      <c r="O50" s="15"/>
    </row>
    <row r="51" spans="2:15" ht="12.75" customHeight="1" thickTop="1">
      <c r="B51" s="612" t="s">
        <v>49</v>
      </c>
      <c r="C51" s="638"/>
      <c r="D51" s="647"/>
      <c r="E51" s="648"/>
      <c r="F51" s="648">
        <f>(F50-F48)+800</f>
        <v>4962.82</v>
      </c>
      <c r="G51" s="36"/>
      <c r="H51" s="14"/>
      <c r="I51" s="14"/>
      <c r="J51" s="39"/>
      <c r="K51" s="29"/>
      <c r="L51" s="29"/>
      <c r="M51" s="32"/>
      <c r="N51" s="15"/>
      <c r="O51" s="15"/>
    </row>
    <row r="52" spans="2:15" ht="12.75" customHeight="1">
      <c r="B52" s="635"/>
      <c r="C52" s="638"/>
      <c r="D52" s="647"/>
      <c r="E52" s="648"/>
      <c r="F52" s="648"/>
      <c r="G52" s="36"/>
      <c r="H52" s="14"/>
      <c r="I52" s="14"/>
      <c r="J52" s="39"/>
      <c r="K52" s="29"/>
      <c r="L52" s="29"/>
      <c r="M52" s="32"/>
      <c r="N52" s="15"/>
      <c r="O52" s="15"/>
    </row>
    <row r="53" spans="1:15" ht="12.75" customHeight="1" thickBot="1">
      <c r="A53" s="47"/>
      <c r="B53" s="612" t="s">
        <v>50</v>
      </c>
      <c r="C53" s="610"/>
      <c r="D53" s="609"/>
      <c r="E53" s="610"/>
      <c r="F53" s="610"/>
      <c r="G53" s="15"/>
      <c r="H53" s="14"/>
      <c r="I53" s="14"/>
      <c r="J53" s="14"/>
      <c r="K53" s="15"/>
      <c r="L53" s="15"/>
      <c r="M53" s="15"/>
      <c r="N53" s="15"/>
      <c r="O53" s="15"/>
    </row>
    <row r="54" spans="2:15" ht="12.75" customHeight="1" thickTop="1">
      <c r="B54" s="613" t="s">
        <v>29</v>
      </c>
      <c r="C54" s="614">
        <v>0.52</v>
      </c>
      <c r="D54" s="640" t="s">
        <v>7</v>
      </c>
      <c r="E54" s="614">
        <f>F26</f>
        <v>1012</v>
      </c>
      <c r="F54" s="632">
        <f>ROUND(C54*E54,2)</f>
        <v>526.24</v>
      </c>
      <c r="G54" s="29"/>
      <c r="H54" s="14"/>
      <c r="I54" s="14"/>
      <c r="J54" s="14"/>
      <c r="K54" s="15"/>
      <c r="L54" s="15"/>
      <c r="M54" s="15"/>
      <c r="N54" s="15"/>
      <c r="O54" s="15"/>
    </row>
    <row r="55" spans="2:15" ht="12.75" customHeight="1">
      <c r="B55" s="623" t="s">
        <v>30</v>
      </c>
      <c r="C55" s="624">
        <v>0.85</v>
      </c>
      <c r="D55" s="641" t="s">
        <v>7</v>
      </c>
      <c r="E55" s="624">
        <f>F32</f>
        <v>1362</v>
      </c>
      <c r="F55" s="622">
        <f>ROUND(C55*E55,2)</f>
        <v>1157.7</v>
      </c>
      <c r="G55" s="29"/>
      <c r="H55" s="14"/>
      <c r="I55" s="14"/>
      <c r="J55" s="14"/>
      <c r="K55" s="15"/>
      <c r="L55" s="15"/>
      <c r="M55" s="15"/>
      <c r="N55" s="15"/>
      <c r="O55" s="15"/>
    </row>
    <row r="56" spans="2:15" ht="12.75" customHeight="1">
      <c r="B56" s="623" t="s">
        <v>43</v>
      </c>
      <c r="C56" s="624">
        <v>7</v>
      </c>
      <c r="D56" s="641" t="s">
        <v>44</v>
      </c>
      <c r="E56" s="624">
        <f>F13</f>
        <v>250</v>
      </c>
      <c r="F56" s="622">
        <f>ROUND(C56*E56,2)</f>
        <v>1750</v>
      </c>
      <c r="G56" s="29"/>
      <c r="H56" s="14"/>
      <c r="I56" s="14"/>
      <c r="J56" s="14"/>
      <c r="K56" s="15"/>
      <c r="L56" s="15"/>
      <c r="M56" s="15"/>
      <c r="N56" s="15"/>
      <c r="O56" s="15"/>
    </row>
    <row r="57" spans="2:15" ht="12.75" customHeight="1">
      <c r="B57" s="623" t="s">
        <v>24</v>
      </c>
      <c r="C57" s="624">
        <v>60</v>
      </c>
      <c r="D57" s="641" t="s">
        <v>10</v>
      </c>
      <c r="E57" s="624">
        <f>F12</f>
        <v>2.5</v>
      </c>
      <c r="F57" s="622">
        <f>ROUND(C57*E57,2)</f>
        <v>150</v>
      </c>
      <c r="G57" s="29"/>
      <c r="H57" s="14"/>
      <c r="I57" s="14"/>
      <c r="J57" s="14"/>
      <c r="K57" s="15"/>
      <c r="L57" s="15"/>
      <c r="M57" s="15"/>
      <c r="N57" s="15"/>
      <c r="O57" s="15"/>
    </row>
    <row r="58" spans="2:15" ht="12.75" customHeight="1">
      <c r="B58" s="623" t="s">
        <v>45</v>
      </c>
      <c r="C58" s="624">
        <v>1</v>
      </c>
      <c r="D58" s="641" t="s">
        <v>7</v>
      </c>
      <c r="E58" s="624">
        <v>800</v>
      </c>
      <c r="F58" s="622">
        <f>ROUND(C58*E58,2)</f>
        <v>800</v>
      </c>
      <c r="G58" s="29"/>
      <c r="H58" s="14"/>
      <c r="I58" s="14"/>
      <c r="J58" s="14"/>
      <c r="K58" s="15"/>
      <c r="L58" s="15"/>
      <c r="M58" s="15"/>
      <c r="N58" s="15"/>
      <c r="O58" s="15"/>
    </row>
    <row r="59" spans="2:15" ht="12.75" customHeight="1">
      <c r="B59" s="623" t="s">
        <v>46</v>
      </c>
      <c r="C59" s="624"/>
      <c r="D59" s="641"/>
      <c r="E59" s="624"/>
      <c r="F59" s="642">
        <f>SUM(F54+F55+F56+F57)*0.02</f>
        <v>71.68</v>
      </c>
      <c r="G59" s="48"/>
      <c r="H59" s="14"/>
      <c r="I59" s="14"/>
      <c r="J59" s="14"/>
      <c r="K59" s="15"/>
      <c r="L59" s="15"/>
      <c r="M59" s="15"/>
      <c r="N59" s="15"/>
      <c r="O59" s="15"/>
    </row>
    <row r="60" spans="2:15" ht="12.75" customHeight="1" thickBot="1">
      <c r="B60" s="633"/>
      <c r="C60" s="643"/>
      <c r="D60" s="644"/>
      <c r="E60" s="645" t="s">
        <v>47</v>
      </c>
      <c r="F60" s="646">
        <f>SUM(F54:F59)</f>
        <v>4455.62</v>
      </c>
      <c r="G60" s="36"/>
      <c r="H60" s="14"/>
      <c r="I60" s="14"/>
      <c r="J60" s="14"/>
      <c r="K60" s="15"/>
      <c r="L60" s="15"/>
      <c r="M60" s="15"/>
      <c r="N60" s="15"/>
      <c r="O60" s="15"/>
    </row>
    <row r="61" spans="2:15" ht="12" customHeight="1" thickTop="1">
      <c r="B61" s="649"/>
      <c r="C61" s="638"/>
      <c r="D61" s="611"/>
      <c r="E61" s="648" t="s">
        <v>51</v>
      </c>
      <c r="F61" s="648">
        <f>F60*1.05</f>
        <v>4678.4</v>
      </c>
      <c r="G61" s="15"/>
      <c r="H61" s="14"/>
      <c r="I61" s="14"/>
      <c r="J61" s="14"/>
      <c r="K61" s="15"/>
      <c r="L61" s="15"/>
      <c r="M61" s="15"/>
      <c r="N61" s="15"/>
      <c r="O61" s="15"/>
    </row>
    <row r="62" spans="2:15" ht="12.75" customHeight="1" thickBot="1">
      <c r="B62" s="612" t="s">
        <v>52</v>
      </c>
      <c r="C62" s="610"/>
      <c r="D62" s="609"/>
      <c r="E62" s="610"/>
      <c r="F62" s="610"/>
      <c r="G62" s="15"/>
      <c r="H62" s="14"/>
      <c r="I62" s="14"/>
      <c r="J62" s="14"/>
      <c r="K62" s="15"/>
      <c r="L62" s="15"/>
      <c r="M62" s="15"/>
      <c r="N62" s="15"/>
      <c r="O62" s="15"/>
    </row>
    <row r="63" spans="2:15" ht="12.75" customHeight="1" thickTop="1">
      <c r="B63" s="613" t="s">
        <v>29</v>
      </c>
      <c r="C63" s="614">
        <v>0.52</v>
      </c>
      <c r="D63" s="640" t="s">
        <v>7</v>
      </c>
      <c r="E63" s="614">
        <f>+F26</f>
        <v>1012</v>
      </c>
      <c r="F63" s="632">
        <f>ROUND(C63*E63,2)</f>
        <v>526.24</v>
      </c>
      <c r="G63" s="29"/>
      <c r="H63" s="14"/>
      <c r="I63" s="14"/>
      <c r="J63" s="14"/>
      <c r="K63" s="15"/>
      <c r="L63" s="15"/>
      <c r="M63" s="15"/>
      <c r="N63" s="15"/>
      <c r="O63" s="15"/>
    </row>
    <row r="64" spans="2:15" ht="12.75" customHeight="1">
      <c r="B64" s="623" t="s">
        <v>30</v>
      </c>
      <c r="C64" s="624">
        <v>0</v>
      </c>
      <c r="D64" s="641" t="s">
        <v>7</v>
      </c>
      <c r="E64" s="624">
        <f>F32</f>
        <v>1362</v>
      </c>
      <c r="F64" s="622">
        <f>ROUND(C64*E64,2)</f>
        <v>0</v>
      </c>
      <c r="G64" s="29"/>
      <c r="H64" s="14"/>
      <c r="I64" s="14"/>
      <c r="J64" s="14"/>
      <c r="K64" s="15"/>
      <c r="L64" s="15"/>
      <c r="M64" s="15"/>
      <c r="N64" s="15"/>
      <c r="O64" s="15"/>
    </row>
    <row r="65" spans="2:15" ht="12.75" customHeight="1">
      <c r="B65" s="623" t="s">
        <v>43</v>
      </c>
      <c r="C65" s="624">
        <v>6.44</v>
      </c>
      <c r="D65" s="641" t="s">
        <v>44</v>
      </c>
      <c r="E65" s="624">
        <f>F13</f>
        <v>250</v>
      </c>
      <c r="F65" s="622">
        <f>ROUND(C65*E65,2)</f>
        <v>1610</v>
      </c>
      <c r="G65" s="29"/>
      <c r="H65" s="14"/>
      <c r="I65" s="14"/>
      <c r="J65" s="14"/>
      <c r="K65" s="15"/>
      <c r="L65" s="15"/>
      <c r="M65" s="15"/>
      <c r="N65" s="15"/>
      <c r="O65" s="15"/>
    </row>
    <row r="66" spans="2:15" ht="12.75" customHeight="1">
      <c r="B66" s="623" t="s">
        <v>24</v>
      </c>
      <c r="C66" s="624">
        <v>60</v>
      </c>
      <c r="D66" s="641" t="s">
        <v>10</v>
      </c>
      <c r="E66" s="624">
        <f>F12</f>
        <v>2.5</v>
      </c>
      <c r="F66" s="622">
        <f>ROUND(C66*E66,2)</f>
        <v>150</v>
      </c>
      <c r="G66" s="29"/>
      <c r="H66" s="14"/>
      <c r="I66" s="14"/>
      <c r="J66" s="14"/>
      <c r="K66" s="15"/>
      <c r="L66" s="15"/>
      <c r="M66" s="15"/>
      <c r="N66" s="15"/>
      <c r="O66" s="15"/>
    </row>
    <row r="67" spans="2:15" ht="12.75" customHeight="1">
      <c r="B67" s="623" t="s">
        <v>45</v>
      </c>
      <c r="C67" s="624">
        <v>1</v>
      </c>
      <c r="D67" s="641" t="s">
        <v>7</v>
      </c>
      <c r="E67" s="624">
        <v>800</v>
      </c>
      <c r="F67" s="622">
        <f>ROUND(C67*E67,2)</f>
        <v>800</v>
      </c>
      <c r="G67" s="29"/>
      <c r="H67" s="14"/>
      <c r="I67" s="14"/>
      <c r="J67" s="14"/>
      <c r="K67" s="15"/>
      <c r="L67" s="15"/>
      <c r="M67" s="15"/>
      <c r="N67" s="15"/>
      <c r="O67" s="15"/>
    </row>
    <row r="68" spans="2:15" ht="12.75" customHeight="1">
      <c r="B68" s="623" t="s">
        <v>46</v>
      </c>
      <c r="C68" s="624"/>
      <c r="D68" s="641"/>
      <c r="E68" s="624"/>
      <c r="F68" s="642">
        <f>SUM(F63+F64+F65+F66)*0.02</f>
        <v>45.72</v>
      </c>
      <c r="G68" s="48"/>
      <c r="H68" s="14"/>
      <c r="I68" s="14"/>
      <c r="J68" s="14"/>
      <c r="K68" s="15"/>
      <c r="L68" s="15"/>
      <c r="M68" s="15"/>
      <c r="N68" s="15"/>
      <c r="O68" s="15"/>
    </row>
    <row r="69" spans="2:15" ht="12.75" customHeight="1" thickBot="1">
      <c r="B69" s="633"/>
      <c r="C69" s="643"/>
      <c r="D69" s="644"/>
      <c r="E69" s="645" t="s">
        <v>47</v>
      </c>
      <c r="F69" s="646">
        <f>SUM(F63:F68)</f>
        <v>3131.96</v>
      </c>
      <c r="G69" s="36"/>
      <c r="H69" s="14"/>
      <c r="I69" s="14"/>
      <c r="J69" s="14"/>
      <c r="K69" s="15"/>
      <c r="L69" s="15"/>
      <c r="M69" s="15"/>
      <c r="N69" s="15"/>
      <c r="O69" s="15"/>
    </row>
    <row r="70" spans="2:15" ht="12" customHeight="1" thickTop="1">
      <c r="B70" s="635"/>
      <c r="C70" s="638"/>
      <c r="D70" s="647"/>
      <c r="E70" s="648"/>
      <c r="F70" s="648"/>
      <c r="G70" s="36"/>
      <c r="H70" s="14"/>
      <c r="I70" s="14"/>
      <c r="J70" s="14"/>
      <c r="K70" s="15"/>
      <c r="L70" s="15"/>
      <c r="M70" s="15"/>
      <c r="N70" s="15"/>
      <c r="O70" s="15"/>
    </row>
    <row r="71" spans="1:15" ht="15.75" customHeight="1" thickBot="1">
      <c r="A71" s="47"/>
      <c r="B71" s="650" t="s">
        <v>53</v>
      </c>
      <c r="C71" s="610"/>
      <c r="D71" s="651"/>
      <c r="E71" s="610"/>
      <c r="F71" s="610"/>
      <c r="G71" s="15"/>
      <c r="H71" s="14"/>
      <c r="I71" s="14"/>
      <c r="J71" s="14"/>
      <c r="K71" s="15"/>
      <c r="L71" s="15"/>
      <c r="M71" s="15"/>
      <c r="N71" s="15"/>
      <c r="O71" s="15"/>
    </row>
    <row r="72" spans="1:15" ht="12.75" customHeight="1" thickTop="1">
      <c r="A72" s="47"/>
      <c r="B72" s="613" t="s">
        <v>54</v>
      </c>
      <c r="C72" s="614">
        <v>1</v>
      </c>
      <c r="D72" s="640" t="s">
        <v>7</v>
      </c>
      <c r="E72" s="614">
        <f>+F17</f>
        <v>1500</v>
      </c>
      <c r="F72" s="632">
        <f>ROUND(C72*E72,2)</f>
        <v>1500</v>
      </c>
      <c r="G72" s="29"/>
      <c r="H72" s="14"/>
      <c r="I72" s="14"/>
      <c r="J72" s="14"/>
      <c r="K72" s="15"/>
      <c r="L72" s="15"/>
      <c r="M72" s="15"/>
      <c r="N72" s="15"/>
      <c r="O72" s="15"/>
    </row>
    <row r="73" spans="1:15" ht="12.75" customHeight="1">
      <c r="A73" s="47"/>
      <c r="B73" s="618" t="s">
        <v>38</v>
      </c>
      <c r="C73" s="619"/>
      <c r="D73" s="652"/>
      <c r="E73" s="619"/>
      <c r="F73" s="622">
        <f>ROUND(C73*E73,2)</f>
        <v>0</v>
      </c>
      <c r="G73" s="29"/>
      <c r="H73" s="14"/>
      <c r="I73" s="14"/>
      <c r="J73" s="14"/>
      <c r="K73" s="15"/>
      <c r="L73" s="15"/>
      <c r="M73" s="15"/>
      <c r="N73" s="15"/>
      <c r="O73" s="15"/>
    </row>
    <row r="74" spans="1:15" ht="12.75" customHeight="1">
      <c r="A74" s="47"/>
      <c r="B74" s="623" t="s">
        <v>39</v>
      </c>
      <c r="C74" s="624">
        <v>1</v>
      </c>
      <c r="D74" s="641" t="s">
        <v>7</v>
      </c>
      <c r="E74" s="624">
        <v>12</v>
      </c>
      <c r="F74" s="622">
        <f>ROUND(C74*E74,2)</f>
        <v>12</v>
      </c>
      <c r="G74" s="29"/>
      <c r="H74" s="14"/>
      <c r="I74" s="14"/>
      <c r="J74" s="14"/>
      <c r="K74" s="15"/>
      <c r="L74" s="15"/>
      <c r="M74" s="15"/>
      <c r="N74" s="15"/>
      <c r="O74" s="15"/>
    </row>
    <row r="75" spans="1:15" ht="12.75" customHeight="1" thickBot="1">
      <c r="A75" s="47"/>
      <c r="B75" s="633"/>
      <c r="C75" s="643"/>
      <c r="D75" s="644"/>
      <c r="E75" s="645" t="s">
        <v>47</v>
      </c>
      <c r="F75" s="646">
        <f>SUM(F72:F74)</f>
        <v>1512</v>
      </c>
      <c r="G75" s="36"/>
      <c r="H75" s="14"/>
      <c r="I75" s="14"/>
      <c r="J75" s="14"/>
      <c r="K75" s="15"/>
      <c r="L75" s="15"/>
      <c r="M75" s="15"/>
      <c r="N75" s="15"/>
      <c r="O75" s="15"/>
    </row>
    <row r="76" spans="1:15" ht="13.5" customHeight="1" thickTop="1">
      <c r="A76" s="47"/>
      <c r="B76" s="609"/>
      <c r="C76" s="610"/>
      <c r="D76" s="611"/>
      <c r="E76" s="610"/>
      <c r="F76" s="610"/>
      <c r="G76" s="15"/>
      <c r="H76" s="14"/>
      <c r="I76" s="14"/>
      <c r="J76" s="14"/>
      <c r="K76" s="15"/>
      <c r="L76" s="15"/>
      <c r="M76" s="15"/>
      <c r="N76" s="15"/>
      <c r="O76" s="15"/>
    </row>
    <row r="77" spans="1:15" ht="12.75" customHeight="1" thickBot="1">
      <c r="A77" s="47"/>
      <c r="B77" s="612" t="s">
        <v>55</v>
      </c>
      <c r="C77" s="610"/>
      <c r="D77" s="609"/>
      <c r="E77" s="610"/>
      <c r="F77" s="610"/>
      <c r="G77" s="15"/>
      <c r="H77" s="14"/>
      <c r="I77" s="14"/>
      <c r="J77" s="14"/>
      <c r="K77" s="15"/>
      <c r="L77" s="15"/>
      <c r="M77" s="15"/>
      <c r="N77" s="15"/>
      <c r="O77" s="15"/>
    </row>
    <row r="78" spans="1:15" ht="12.75" customHeight="1" thickTop="1">
      <c r="A78" s="47"/>
      <c r="B78" s="613" t="s">
        <v>29</v>
      </c>
      <c r="C78" s="614">
        <v>1.02</v>
      </c>
      <c r="D78" s="640" t="s">
        <v>7</v>
      </c>
      <c r="E78" s="614">
        <f>+F75</f>
        <v>1512</v>
      </c>
      <c r="F78" s="632">
        <f>ROUND(C78*E78,2)</f>
        <v>1542.24</v>
      </c>
      <c r="G78" s="51"/>
      <c r="H78" s="14"/>
      <c r="I78" s="14"/>
      <c r="J78" s="14"/>
      <c r="K78" s="15"/>
      <c r="L78" s="15"/>
      <c r="M78" s="15"/>
      <c r="N78" s="15"/>
      <c r="O78" s="15"/>
    </row>
    <row r="79" spans="1:15" ht="12.75" customHeight="1">
      <c r="A79" s="47"/>
      <c r="B79" s="623" t="s">
        <v>43</v>
      </c>
      <c r="C79" s="624">
        <v>9.46</v>
      </c>
      <c r="D79" s="641" t="s">
        <v>44</v>
      </c>
      <c r="E79" s="624">
        <f>F13</f>
        <v>250</v>
      </c>
      <c r="F79" s="622">
        <f>ROUND(C79*E79,2)</f>
        <v>2365</v>
      </c>
      <c r="G79" s="29"/>
      <c r="H79" s="14"/>
      <c r="I79" s="14"/>
      <c r="J79" s="14"/>
      <c r="K79" s="15"/>
      <c r="L79" s="15"/>
      <c r="M79" s="15"/>
      <c r="N79" s="15"/>
      <c r="O79" s="15"/>
    </row>
    <row r="80" spans="1:15" ht="12.75" customHeight="1">
      <c r="A80" s="47"/>
      <c r="B80" s="623" t="s">
        <v>24</v>
      </c>
      <c r="C80" s="624">
        <v>50</v>
      </c>
      <c r="D80" s="641" t="s">
        <v>10</v>
      </c>
      <c r="E80" s="624">
        <f>F12</f>
        <v>2.5</v>
      </c>
      <c r="F80" s="622">
        <f>ROUND(C80*E80,2)</f>
        <v>125</v>
      </c>
      <c r="G80" s="29"/>
      <c r="H80" s="14"/>
      <c r="I80" s="14"/>
      <c r="J80" s="14"/>
      <c r="K80" s="15"/>
      <c r="L80" s="15"/>
      <c r="M80" s="15"/>
      <c r="N80" s="15"/>
      <c r="O80" s="15"/>
    </row>
    <row r="81" spans="1:15" ht="12.75" customHeight="1">
      <c r="A81" s="47"/>
      <c r="B81" s="623" t="s">
        <v>28</v>
      </c>
      <c r="C81" s="624">
        <v>3.07</v>
      </c>
      <c r="D81" s="641" t="s">
        <v>44</v>
      </c>
      <c r="E81" s="624">
        <f>F14</f>
        <v>100</v>
      </c>
      <c r="F81" s="622">
        <f>ROUND(C81*E81,2)</f>
        <v>307</v>
      </c>
      <c r="G81" s="29"/>
      <c r="H81" s="14"/>
      <c r="I81" s="14"/>
      <c r="J81" s="14"/>
      <c r="K81" s="15"/>
      <c r="L81" s="15"/>
      <c r="M81" s="15"/>
      <c r="N81" s="15"/>
      <c r="O81" s="15"/>
    </row>
    <row r="82" spans="1:15" ht="12.75" customHeight="1">
      <c r="A82" s="47"/>
      <c r="B82" s="623" t="s">
        <v>56</v>
      </c>
      <c r="C82" s="624">
        <v>0.5</v>
      </c>
      <c r="D82" s="641" t="s">
        <v>57</v>
      </c>
      <c r="E82" s="624">
        <v>650</v>
      </c>
      <c r="F82" s="622">
        <f>ROUND(C82*E82,2)</f>
        <v>325</v>
      </c>
      <c r="G82" s="29"/>
      <c r="H82" s="14"/>
      <c r="I82" s="14"/>
      <c r="J82" s="14"/>
      <c r="K82" s="15"/>
      <c r="L82" s="15"/>
      <c r="M82" s="15"/>
      <c r="N82" s="15"/>
      <c r="O82" s="15"/>
    </row>
    <row r="83" spans="1:15" ht="12.75" customHeight="1">
      <c r="A83" s="47"/>
      <c r="B83" s="623" t="s">
        <v>58</v>
      </c>
      <c r="C83" s="624"/>
      <c r="D83" s="641"/>
      <c r="E83" s="624"/>
      <c r="F83" s="642">
        <f>SUM(F79+F80+F78+F81)*0.03</f>
        <v>130.18</v>
      </c>
      <c r="G83" s="48"/>
      <c r="H83" s="14"/>
      <c r="I83" s="14"/>
      <c r="J83" s="14"/>
      <c r="K83" s="15"/>
      <c r="L83" s="15"/>
      <c r="M83" s="15"/>
      <c r="N83" s="15"/>
      <c r="O83" s="15"/>
    </row>
    <row r="84" spans="1:15" ht="12.75" customHeight="1" thickBot="1">
      <c r="A84" s="47"/>
      <c r="B84" s="633" t="s">
        <v>59</v>
      </c>
      <c r="C84" s="643"/>
      <c r="D84" s="644"/>
      <c r="E84" s="645" t="s">
        <v>47</v>
      </c>
      <c r="F84" s="646">
        <f>SUM(F78:F83)</f>
        <v>4794.42</v>
      </c>
      <c r="G84" s="36"/>
      <c r="H84" s="14"/>
      <c r="I84" s="14"/>
      <c r="J84" s="14"/>
      <c r="K84" s="15"/>
      <c r="L84" s="15"/>
      <c r="M84" s="15"/>
      <c r="N84" s="15"/>
      <c r="O84" s="15"/>
    </row>
    <row r="85" spans="1:15" ht="7.5" customHeight="1" thickTop="1">
      <c r="A85" s="47"/>
      <c r="B85" s="609"/>
      <c r="C85" s="610"/>
      <c r="D85" s="611"/>
      <c r="E85" s="653"/>
      <c r="F85" s="653"/>
      <c r="G85" s="53"/>
      <c r="H85" s="14"/>
      <c r="I85" s="14"/>
      <c r="J85" s="14"/>
      <c r="K85" s="15"/>
      <c r="L85" s="15"/>
      <c r="M85" s="15"/>
      <c r="N85" s="15"/>
      <c r="O85" s="15"/>
    </row>
    <row r="86" spans="1:15" ht="12.75" customHeight="1" thickBot="1">
      <c r="A86" s="47"/>
      <c r="B86" s="612" t="s">
        <v>60</v>
      </c>
      <c r="C86" s="610"/>
      <c r="D86" s="609"/>
      <c r="E86" s="610"/>
      <c r="F86" s="610"/>
      <c r="G86" s="15"/>
      <c r="H86" s="14"/>
      <c r="I86" s="14"/>
      <c r="J86" s="14"/>
      <c r="K86" s="15"/>
      <c r="L86" s="15"/>
      <c r="M86" s="15"/>
      <c r="N86" s="15"/>
      <c r="O86" s="15"/>
    </row>
    <row r="87" spans="1:15" ht="12.75" customHeight="1" thickTop="1">
      <c r="A87" s="47"/>
      <c r="B87" s="613" t="s">
        <v>61</v>
      </c>
      <c r="C87" s="614">
        <v>1</v>
      </c>
      <c r="D87" s="654" t="s">
        <v>7</v>
      </c>
      <c r="E87" s="614">
        <f>+F75</f>
        <v>1512</v>
      </c>
      <c r="F87" s="632">
        <f>ROUND(C87*E87,2)</f>
        <v>1512</v>
      </c>
      <c r="G87" s="48"/>
      <c r="H87" s="14"/>
      <c r="I87" s="14"/>
      <c r="J87" s="14"/>
      <c r="K87" s="15"/>
      <c r="L87" s="15"/>
      <c r="M87" s="15"/>
      <c r="N87" s="15"/>
      <c r="O87" s="15"/>
    </row>
    <row r="88" spans="1:15" ht="12.75" customHeight="1">
      <c r="A88" s="47"/>
      <c r="B88" s="623" t="s">
        <v>24</v>
      </c>
      <c r="C88" s="624">
        <v>69.04</v>
      </c>
      <c r="D88" s="655" t="s">
        <v>10</v>
      </c>
      <c r="E88" s="624">
        <f>F12</f>
        <v>2.5</v>
      </c>
      <c r="F88" s="622">
        <f>ROUND(C88*E88,2)</f>
        <v>172.6</v>
      </c>
      <c r="G88" s="48"/>
      <c r="H88" s="14"/>
      <c r="I88" s="14"/>
      <c r="J88" s="14"/>
      <c r="K88" s="15"/>
      <c r="L88" s="15"/>
      <c r="M88" s="15"/>
      <c r="N88" s="15"/>
      <c r="O88" s="15"/>
    </row>
    <row r="89" spans="1:15" ht="12.75" customHeight="1">
      <c r="A89" s="47"/>
      <c r="B89" s="623" t="s">
        <v>43</v>
      </c>
      <c r="C89" s="624">
        <v>11.51</v>
      </c>
      <c r="D89" s="655" t="s">
        <v>44</v>
      </c>
      <c r="E89" s="624">
        <f>F13</f>
        <v>250</v>
      </c>
      <c r="F89" s="622">
        <f>ROUND(C89*E89,2)</f>
        <v>2877.5</v>
      </c>
      <c r="G89" s="48"/>
      <c r="H89" s="14"/>
      <c r="I89" s="14"/>
      <c r="J89" s="14"/>
      <c r="K89" s="15"/>
      <c r="L89" s="15"/>
      <c r="M89" s="15"/>
      <c r="N89" s="15"/>
      <c r="O89" s="15"/>
    </row>
    <row r="90" spans="1:15" ht="12.75" customHeight="1">
      <c r="A90" s="47"/>
      <c r="B90" s="623" t="s">
        <v>56</v>
      </c>
      <c r="C90" s="624">
        <v>0.5</v>
      </c>
      <c r="D90" s="655" t="s">
        <v>57</v>
      </c>
      <c r="E90" s="624">
        <v>650</v>
      </c>
      <c r="F90" s="622">
        <f>ROUND(C90*E90,2)</f>
        <v>325</v>
      </c>
      <c r="G90" s="48"/>
      <c r="H90" s="14"/>
      <c r="I90" s="14"/>
      <c r="J90" s="14"/>
      <c r="K90" s="15"/>
      <c r="L90" s="15"/>
      <c r="M90" s="15"/>
      <c r="N90" s="15"/>
      <c r="O90" s="15"/>
    </row>
    <row r="91" spans="1:15" ht="12.75" customHeight="1">
      <c r="A91" s="47"/>
      <c r="B91" s="623" t="s">
        <v>58</v>
      </c>
      <c r="C91" s="624"/>
      <c r="D91" s="655"/>
      <c r="E91" s="624"/>
      <c r="F91" s="642">
        <f>SUM(F87+F88+F89)*0.03</f>
        <v>136.86</v>
      </c>
      <c r="G91" s="48"/>
      <c r="H91" s="14"/>
      <c r="I91" s="14"/>
      <c r="J91" s="14"/>
      <c r="K91" s="15"/>
      <c r="L91" s="15"/>
      <c r="M91" s="15"/>
      <c r="N91" s="15"/>
      <c r="O91" s="15"/>
    </row>
    <row r="92" spans="1:15" ht="12.75" customHeight="1" thickBot="1">
      <c r="A92" s="47"/>
      <c r="B92" s="633"/>
      <c r="C92" s="643"/>
      <c r="D92" s="656"/>
      <c r="E92" s="645" t="s">
        <v>47</v>
      </c>
      <c r="F92" s="646">
        <f>SUM(F87:F91)</f>
        <v>5023.96</v>
      </c>
      <c r="G92" s="36"/>
      <c r="H92" s="14"/>
      <c r="I92" s="14"/>
      <c r="J92" s="14"/>
      <c r="K92" s="15"/>
      <c r="L92" s="15"/>
      <c r="M92" s="15"/>
      <c r="N92" s="15"/>
      <c r="O92" s="15"/>
    </row>
    <row r="93" spans="1:15" ht="10.5" customHeight="1" thickTop="1">
      <c r="A93" s="47"/>
      <c r="B93" s="635"/>
      <c r="C93" s="638"/>
      <c r="D93" s="635"/>
      <c r="E93" s="648"/>
      <c r="F93" s="648"/>
      <c r="G93" s="36"/>
      <c r="H93" s="14"/>
      <c r="I93" s="14"/>
      <c r="J93" s="14"/>
      <c r="K93" s="15"/>
      <c r="L93" s="15"/>
      <c r="M93" s="15"/>
      <c r="N93" s="15"/>
      <c r="O93" s="15"/>
    </row>
    <row r="94" spans="1:15" ht="12.75" customHeight="1" thickBot="1">
      <c r="A94" s="47"/>
      <c r="B94" s="612" t="s">
        <v>3</v>
      </c>
      <c r="C94" s="610"/>
      <c r="D94" s="611"/>
      <c r="E94" s="610"/>
      <c r="F94" s="610"/>
      <c r="G94" s="15"/>
      <c r="H94" s="14"/>
      <c r="I94" s="14"/>
      <c r="J94" s="14"/>
      <c r="K94" s="15"/>
      <c r="L94" s="15"/>
      <c r="M94" s="15"/>
      <c r="N94" s="15"/>
      <c r="O94" s="15"/>
    </row>
    <row r="95" spans="1:15" ht="12.75" customHeight="1" thickTop="1">
      <c r="A95" s="47"/>
      <c r="B95" s="613" t="s">
        <v>62</v>
      </c>
      <c r="C95" s="614">
        <v>0.03</v>
      </c>
      <c r="D95" s="654" t="s">
        <v>7</v>
      </c>
      <c r="E95" s="657">
        <f>+F84</f>
        <v>4794.42</v>
      </c>
      <c r="F95" s="632">
        <f>ROUND(C95*E95,2)</f>
        <v>143.83</v>
      </c>
      <c r="G95" s="48"/>
      <c r="H95" s="14"/>
      <c r="I95" s="14"/>
      <c r="J95" s="14"/>
      <c r="K95" s="15"/>
      <c r="L95" s="15"/>
      <c r="M95" s="15"/>
      <c r="N95" s="15"/>
      <c r="O95" s="15"/>
    </row>
    <row r="96" spans="1:15" ht="12.75" customHeight="1">
      <c r="A96" s="47"/>
      <c r="B96" s="623" t="s">
        <v>63</v>
      </c>
      <c r="C96" s="624">
        <v>0.03</v>
      </c>
      <c r="D96" s="655" t="s">
        <v>64</v>
      </c>
      <c r="E96" s="658">
        <v>45</v>
      </c>
      <c r="F96" s="622">
        <f>ROUND(C96*E96,2)</f>
        <v>1.35</v>
      </c>
      <c r="G96" s="48"/>
      <c r="H96" s="14"/>
      <c r="I96" s="14"/>
      <c r="J96" s="14"/>
      <c r="K96" s="15"/>
      <c r="L96" s="15"/>
      <c r="M96" s="15"/>
      <c r="N96" s="15"/>
      <c r="O96" s="15"/>
    </row>
    <row r="97" spans="1:15" ht="12.75" customHeight="1">
      <c r="A97" s="47"/>
      <c r="B97" s="623" t="s">
        <v>65</v>
      </c>
      <c r="C97" s="624">
        <v>1</v>
      </c>
      <c r="D97" s="655" t="s">
        <v>66</v>
      </c>
      <c r="E97" s="658">
        <v>6</v>
      </c>
      <c r="F97" s="622">
        <f>ROUND(C97*E97,2)</f>
        <v>6</v>
      </c>
      <c r="G97" s="48"/>
      <c r="H97" s="14"/>
      <c r="I97" s="14"/>
      <c r="J97" s="14"/>
      <c r="K97" s="15"/>
      <c r="L97" s="15"/>
      <c r="M97" s="15"/>
      <c r="N97" s="15"/>
      <c r="O97" s="15"/>
    </row>
    <row r="98" spans="1:15" ht="12.75" customHeight="1">
      <c r="A98" s="47"/>
      <c r="B98" s="623" t="s">
        <v>15</v>
      </c>
      <c r="C98" s="624">
        <v>1</v>
      </c>
      <c r="D98" s="655" t="s">
        <v>8</v>
      </c>
      <c r="E98" s="658">
        <v>95.62</v>
      </c>
      <c r="F98" s="622">
        <f>ROUND(C98*E98,2)</f>
        <v>95.62</v>
      </c>
      <c r="G98" s="48"/>
      <c r="H98" s="14"/>
      <c r="I98" s="14">
        <v>90</v>
      </c>
      <c r="J98" s="14"/>
      <c r="K98" s="15"/>
      <c r="L98" s="15"/>
      <c r="M98" s="15"/>
      <c r="N98" s="15"/>
      <c r="O98" s="15"/>
    </row>
    <row r="99" spans="1:15" ht="12.75" customHeight="1" thickBot="1">
      <c r="A99" s="47"/>
      <c r="B99" s="633"/>
      <c r="C99" s="643"/>
      <c r="D99" s="656"/>
      <c r="E99" s="645" t="s">
        <v>47</v>
      </c>
      <c r="F99" s="646">
        <f>ROUND(SUM(F95:F98),2)</f>
        <v>246.8</v>
      </c>
      <c r="G99" s="59"/>
      <c r="H99" s="14"/>
      <c r="I99" s="14"/>
      <c r="J99" s="14"/>
      <c r="K99" s="15"/>
      <c r="L99" s="15"/>
      <c r="M99" s="15"/>
      <c r="N99" s="15"/>
      <c r="O99" s="15"/>
    </row>
    <row r="100" spans="1:15" ht="13.5" customHeight="1" thickTop="1">
      <c r="A100" s="47"/>
      <c r="B100" s="659" t="s">
        <v>67</v>
      </c>
      <c r="C100" s="660">
        <f>($C$79*6*$C$95)/128</f>
        <v>0.01</v>
      </c>
      <c r="D100" s="661" t="s">
        <v>25</v>
      </c>
      <c r="E100" s="662">
        <v>330.6</v>
      </c>
      <c r="F100" s="663">
        <f>(C100*E100)+F99</f>
        <v>250.11</v>
      </c>
      <c r="G100" s="65"/>
      <c r="H100" s="14"/>
      <c r="I100" s="14"/>
      <c r="J100" s="14"/>
      <c r="K100" s="15"/>
      <c r="L100" s="15"/>
      <c r="M100" s="15"/>
      <c r="N100" s="15"/>
      <c r="O100" s="15"/>
    </row>
    <row r="101" spans="1:15" ht="13.5" customHeight="1" thickBot="1">
      <c r="A101" s="47"/>
      <c r="B101" s="664" t="s">
        <v>68</v>
      </c>
      <c r="C101" s="643">
        <f>($C$79*4.5*$C$95)/128</f>
        <v>0.01</v>
      </c>
      <c r="D101" s="665" t="s">
        <v>25</v>
      </c>
      <c r="E101" s="666">
        <v>749.36</v>
      </c>
      <c r="F101" s="667">
        <f>(C101*E101)+F99</f>
        <v>254.29</v>
      </c>
      <c r="G101" s="65"/>
      <c r="H101" s="14"/>
      <c r="I101" s="14"/>
      <c r="J101" s="14"/>
      <c r="K101" s="15"/>
      <c r="L101" s="15"/>
      <c r="M101" s="15"/>
      <c r="N101" s="15"/>
      <c r="O101" s="15"/>
    </row>
    <row r="102" spans="1:15" ht="13.5" customHeight="1" thickTop="1">
      <c r="A102" s="47"/>
      <c r="B102" s="609"/>
      <c r="C102" s="610"/>
      <c r="D102" s="611"/>
      <c r="E102" s="653"/>
      <c r="F102" s="653"/>
      <c r="G102" s="65"/>
      <c r="H102" s="14"/>
      <c r="I102" s="14"/>
      <c r="J102" s="14"/>
      <c r="K102" s="15"/>
      <c r="L102" s="15"/>
      <c r="M102" s="15"/>
      <c r="N102" s="15"/>
      <c r="O102" s="15"/>
    </row>
    <row r="103" spans="1:15" ht="12.75" customHeight="1" thickBot="1">
      <c r="A103" s="47"/>
      <c r="B103" s="650" t="s">
        <v>14</v>
      </c>
      <c r="C103" s="610"/>
      <c r="D103" s="609"/>
      <c r="E103" s="610"/>
      <c r="F103" s="610"/>
      <c r="G103" s="15"/>
      <c r="H103" s="14"/>
      <c r="I103" s="14"/>
      <c r="J103" s="14"/>
      <c r="K103" s="15"/>
      <c r="L103" s="15"/>
      <c r="M103" s="15"/>
      <c r="N103" s="15"/>
      <c r="O103" s="15"/>
    </row>
    <row r="104" spans="1:15" ht="12.75" customHeight="1" thickTop="1">
      <c r="A104" s="47"/>
      <c r="B104" s="613" t="s">
        <v>69</v>
      </c>
      <c r="C104" s="614">
        <v>0.03</v>
      </c>
      <c r="D104" s="654" t="s">
        <v>7</v>
      </c>
      <c r="E104" s="657">
        <f>+F84</f>
        <v>4794.42</v>
      </c>
      <c r="F104" s="632">
        <f>ROUND(C104*E104,2)</f>
        <v>143.83</v>
      </c>
      <c r="G104" s="48"/>
      <c r="H104" s="14"/>
      <c r="I104" s="14"/>
      <c r="J104" s="14"/>
      <c r="K104" s="15"/>
      <c r="L104" s="15"/>
      <c r="M104" s="15"/>
      <c r="N104" s="15"/>
      <c r="O104" s="15"/>
    </row>
    <row r="105" spans="1:15" ht="12.75" customHeight="1">
      <c r="A105" s="47"/>
      <c r="B105" s="623" t="s">
        <v>63</v>
      </c>
      <c r="C105" s="624">
        <v>0.03</v>
      </c>
      <c r="D105" s="655" t="s">
        <v>64</v>
      </c>
      <c r="E105" s="658">
        <v>45</v>
      </c>
      <c r="F105" s="622">
        <f>ROUND(C105*E105,2)</f>
        <v>1.35</v>
      </c>
      <c r="G105" s="48"/>
      <c r="H105" s="14"/>
      <c r="I105" s="14"/>
      <c r="J105" s="14"/>
      <c r="K105" s="15"/>
      <c r="L105" s="15"/>
      <c r="M105" s="15"/>
      <c r="N105" s="15"/>
      <c r="O105" s="15"/>
    </row>
    <row r="106" spans="1:15" ht="12.75" customHeight="1">
      <c r="A106" s="47"/>
      <c r="B106" s="623" t="s">
        <v>65</v>
      </c>
      <c r="C106" s="624">
        <v>1</v>
      </c>
      <c r="D106" s="655" t="s">
        <v>66</v>
      </c>
      <c r="E106" s="658">
        <v>6</v>
      </c>
      <c r="F106" s="622">
        <f>ROUND(C106*E106,2)</f>
        <v>6</v>
      </c>
      <c r="G106" s="48"/>
      <c r="H106" s="14"/>
      <c r="I106" s="14"/>
      <c r="J106" s="14"/>
      <c r="K106" s="15"/>
      <c r="L106" s="15"/>
      <c r="M106" s="15"/>
      <c r="N106" s="15"/>
      <c r="O106" s="15"/>
    </row>
    <row r="107" spans="1:15" ht="12.75" customHeight="1">
      <c r="A107" s="47"/>
      <c r="B107" s="623" t="s">
        <v>70</v>
      </c>
      <c r="C107" s="624">
        <v>0.05</v>
      </c>
      <c r="D107" s="655" t="s">
        <v>27</v>
      </c>
      <c r="E107" s="658">
        <f>F13</f>
        <v>250</v>
      </c>
      <c r="F107" s="622">
        <f>ROUND(C107*E107,2)</f>
        <v>12.5</v>
      </c>
      <c r="G107" s="48"/>
      <c r="H107" s="14"/>
      <c r="I107" s="14"/>
      <c r="J107" s="14"/>
      <c r="K107" s="15"/>
      <c r="L107" s="15"/>
      <c r="M107" s="15"/>
      <c r="N107" s="15"/>
      <c r="O107" s="15"/>
    </row>
    <row r="108" spans="1:15" ht="12.75" customHeight="1">
      <c r="A108" s="47"/>
      <c r="B108" s="623" t="s">
        <v>71</v>
      </c>
      <c r="C108" s="624">
        <v>1</v>
      </c>
      <c r="D108" s="655" t="s">
        <v>8</v>
      </c>
      <c r="E108" s="658">
        <v>110.26</v>
      </c>
      <c r="F108" s="622">
        <f>ROUND(C108*E108,2)</f>
        <v>110.26</v>
      </c>
      <c r="G108" s="48"/>
      <c r="H108" s="14"/>
      <c r="I108" s="14"/>
      <c r="J108" s="14"/>
      <c r="K108" s="15"/>
      <c r="L108" s="15"/>
      <c r="M108" s="15"/>
      <c r="N108" s="15"/>
      <c r="O108" s="15"/>
    </row>
    <row r="109" spans="1:15" ht="12.75" customHeight="1" thickBot="1">
      <c r="A109" s="47"/>
      <c r="B109" s="633"/>
      <c r="C109" s="643"/>
      <c r="D109" s="644"/>
      <c r="E109" s="645" t="s">
        <v>47</v>
      </c>
      <c r="F109" s="646">
        <f>ROUND(SUM(F104:F108),2)</f>
        <v>273.94</v>
      </c>
      <c r="G109" s="59"/>
      <c r="H109" s="14"/>
      <c r="I109" s="14"/>
      <c r="J109" s="14"/>
      <c r="K109" s="15"/>
      <c r="L109" s="15"/>
      <c r="M109" s="15"/>
      <c r="N109" s="15"/>
      <c r="O109" s="15"/>
    </row>
    <row r="110" spans="1:15" ht="12.75" customHeight="1" thickBot="1" thickTop="1">
      <c r="A110" s="47"/>
      <c r="B110" s="668" t="s">
        <v>72</v>
      </c>
      <c r="C110" s="669"/>
      <c r="D110" s="670"/>
      <c r="E110" s="671"/>
      <c r="F110" s="672">
        <f>ROUND(F109-F107,2)</f>
        <v>261.44</v>
      </c>
      <c r="G110" s="59"/>
      <c r="H110" s="14"/>
      <c r="I110" s="14"/>
      <c r="J110" s="14"/>
      <c r="K110" s="15"/>
      <c r="L110" s="15"/>
      <c r="M110" s="15"/>
      <c r="N110" s="15"/>
      <c r="O110" s="15"/>
    </row>
    <row r="111" spans="1:15" ht="12.75" customHeight="1" thickTop="1">
      <c r="A111" s="47"/>
      <c r="B111" s="673" t="s">
        <v>73</v>
      </c>
      <c r="C111" s="614">
        <f>($C$79*6*$C$104)/128</f>
        <v>0.01</v>
      </c>
      <c r="D111" s="615" t="s">
        <v>10</v>
      </c>
      <c r="E111" s="662">
        <v>330.6</v>
      </c>
      <c r="F111" s="674">
        <f>(C111*E111)+F110</f>
        <v>264.75</v>
      </c>
      <c r="G111" s="59"/>
      <c r="H111" s="14"/>
      <c r="I111" s="14"/>
      <c r="J111" s="14"/>
      <c r="K111" s="15"/>
      <c r="L111" s="15"/>
      <c r="M111" s="15"/>
      <c r="N111" s="15"/>
      <c r="O111" s="15"/>
    </row>
    <row r="112" spans="1:15" ht="14.25" customHeight="1">
      <c r="A112" s="47"/>
      <c r="B112" s="675" t="s">
        <v>74</v>
      </c>
      <c r="C112" s="624">
        <f>($C$79*6*$C$104)/128</f>
        <v>0.01</v>
      </c>
      <c r="D112" s="625" t="s">
        <v>10</v>
      </c>
      <c r="E112" s="676">
        <v>330.6</v>
      </c>
      <c r="F112" s="677">
        <f>(C112*E112)+F109</f>
        <v>277.25</v>
      </c>
      <c r="G112" s="82"/>
      <c r="H112" s="14"/>
      <c r="I112" s="14"/>
      <c r="J112" s="14"/>
      <c r="K112" s="15"/>
      <c r="L112" s="15"/>
      <c r="M112" s="15"/>
      <c r="N112" s="15"/>
      <c r="O112" s="15"/>
    </row>
    <row r="113" spans="1:15" ht="14.25" customHeight="1">
      <c r="A113" s="47"/>
      <c r="B113" s="675" t="s">
        <v>75</v>
      </c>
      <c r="C113" s="624">
        <f>($C$79*4.5*$C$104)/128</f>
        <v>0.01</v>
      </c>
      <c r="D113" s="625" t="s">
        <v>10</v>
      </c>
      <c r="E113" s="676">
        <v>749.36</v>
      </c>
      <c r="F113" s="677">
        <f>(C113*E113)+F110</f>
        <v>268.93</v>
      </c>
      <c r="G113" s="82"/>
      <c r="H113" s="14"/>
      <c r="I113" s="14"/>
      <c r="J113" s="14"/>
      <c r="K113" s="15"/>
      <c r="L113" s="15"/>
      <c r="M113" s="15"/>
      <c r="N113" s="15"/>
      <c r="O113" s="15"/>
    </row>
    <row r="114" spans="1:15" ht="14.25" customHeight="1" thickBot="1">
      <c r="A114" s="47"/>
      <c r="B114" s="664" t="s">
        <v>76</v>
      </c>
      <c r="C114" s="643">
        <f>($C$79*4.5*$C$104)/128</f>
        <v>0.01</v>
      </c>
      <c r="D114" s="665" t="s">
        <v>10</v>
      </c>
      <c r="E114" s="678">
        <v>749.36</v>
      </c>
      <c r="F114" s="677">
        <f>(C114*E114)+F109</f>
        <v>281.43</v>
      </c>
      <c r="G114" s="82"/>
      <c r="H114" s="14"/>
      <c r="I114" s="14"/>
      <c r="J114" s="14"/>
      <c r="K114" s="15"/>
      <c r="L114" s="15"/>
      <c r="M114" s="15"/>
      <c r="N114" s="15"/>
      <c r="O114" s="15"/>
    </row>
    <row r="115" spans="1:15" ht="9" customHeight="1" thickTop="1">
      <c r="A115" s="47"/>
      <c r="B115" s="609"/>
      <c r="C115" s="610"/>
      <c r="D115" s="611"/>
      <c r="E115" s="653"/>
      <c r="F115" s="679"/>
      <c r="G115" s="82"/>
      <c r="H115" s="14"/>
      <c r="I115" s="14"/>
      <c r="J115" s="14"/>
      <c r="K115" s="15"/>
      <c r="L115" s="15"/>
      <c r="M115" s="15"/>
      <c r="N115" s="15"/>
      <c r="O115" s="15"/>
    </row>
    <row r="116" spans="1:15" ht="12.75" customHeight="1" thickBot="1">
      <c r="A116" s="47"/>
      <c r="B116" s="650" t="s">
        <v>77</v>
      </c>
      <c r="C116" s="610"/>
      <c r="D116" s="611"/>
      <c r="E116" s="610"/>
      <c r="F116" s="610"/>
      <c r="G116" s="15"/>
      <c r="H116" s="14"/>
      <c r="I116" s="14"/>
      <c r="J116" s="14"/>
      <c r="K116" s="15"/>
      <c r="L116" s="15"/>
      <c r="M116" s="15"/>
      <c r="N116" s="15"/>
      <c r="O116" s="15"/>
    </row>
    <row r="117" spans="1:15" ht="12.75" customHeight="1" thickTop="1">
      <c r="A117" s="47"/>
      <c r="B117" s="613" t="s">
        <v>78</v>
      </c>
      <c r="C117" s="614">
        <v>0.06</v>
      </c>
      <c r="D117" s="654" t="s">
        <v>7</v>
      </c>
      <c r="E117" s="657">
        <f>+F92</f>
        <v>5023.96</v>
      </c>
      <c r="F117" s="632">
        <f>ROUND(C117*E117,2)</f>
        <v>301.44</v>
      </c>
      <c r="G117" s="48"/>
      <c r="H117" s="14"/>
      <c r="I117" s="14"/>
      <c r="J117" s="14"/>
      <c r="K117" s="15"/>
      <c r="L117" s="15"/>
      <c r="M117" s="15"/>
      <c r="N117" s="15"/>
      <c r="O117" s="15"/>
    </row>
    <row r="118" spans="1:15" ht="12.75" customHeight="1">
      <c r="A118" s="47"/>
      <c r="B118" s="623" t="s">
        <v>63</v>
      </c>
      <c r="C118" s="624">
        <v>0.33</v>
      </c>
      <c r="D118" s="641" t="s">
        <v>64</v>
      </c>
      <c r="E118" s="658">
        <v>45</v>
      </c>
      <c r="F118" s="622">
        <f>ROUND(C118*E118,2)</f>
        <v>14.85</v>
      </c>
      <c r="G118" s="48"/>
      <c r="H118" s="14"/>
      <c r="I118" s="14"/>
      <c r="J118" s="14"/>
      <c r="K118" s="15"/>
      <c r="L118" s="15"/>
      <c r="M118" s="15"/>
      <c r="N118" s="15"/>
      <c r="O118" s="15"/>
    </row>
    <row r="119" spans="1:15" ht="12.75" customHeight="1">
      <c r="A119" s="47"/>
      <c r="B119" s="623" t="s">
        <v>65</v>
      </c>
      <c r="C119" s="624">
        <v>1</v>
      </c>
      <c r="D119" s="641" t="s">
        <v>66</v>
      </c>
      <c r="E119" s="658">
        <v>6</v>
      </c>
      <c r="F119" s="622">
        <f>ROUND(C119*E119,2)</f>
        <v>6</v>
      </c>
      <c r="G119" s="48"/>
      <c r="H119" s="14"/>
      <c r="I119" s="14"/>
      <c r="J119" s="14"/>
      <c r="K119" s="15"/>
      <c r="L119" s="15"/>
      <c r="M119" s="15"/>
      <c r="N119" s="15"/>
      <c r="O119" s="15"/>
    </row>
    <row r="120" spans="1:15" ht="12.75" customHeight="1">
      <c r="A120" s="47"/>
      <c r="B120" s="623" t="s">
        <v>79</v>
      </c>
      <c r="C120" s="624">
        <v>1</v>
      </c>
      <c r="D120" s="641" t="s">
        <v>66</v>
      </c>
      <c r="E120" s="658">
        <v>6</v>
      </c>
      <c r="F120" s="622">
        <f>ROUND(C120*E120,2)</f>
        <v>6</v>
      </c>
      <c r="G120" s="48"/>
      <c r="H120" s="14"/>
      <c r="I120" s="14"/>
      <c r="J120" s="14"/>
      <c r="K120" s="15"/>
      <c r="L120" s="15"/>
      <c r="M120" s="15"/>
      <c r="N120" s="15"/>
      <c r="O120" s="15"/>
    </row>
    <row r="121" spans="1:15" ht="12.75" customHeight="1">
      <c r="A121" s="47"/>
      <c r="B121" s="623" t="s">
        <v>15</v>
      </c>
      <c r="C121" s="624">
        <v>1</v>
      </c>
      <c r="D121" s="641" t="s">
        <v>8</v>
      </c>
      <c r="E121" s="658">
        <v>115.23</v>
      </c>
      <c r="F121" s="622">
        <f>ROUND(C121*E121,2)</f>
        <v>115.23</v>
      </c>
      <c r="G121" s="48"/>
      <c r="H121" s="14"/>
      <c r="I121" s="14"/>
      <c r="J121" s="14"/>
      <c r="K121" s="15"/>
      <c r="L121" s="15"/>
      <c r="M121" s="15"/>
      <c r="N121" s="15"/>
      <c r="O121" s="15"/>
    </row>
    <row r="122" spans="1:15" ht="12.75" customHeight="1" thickBot="1">
      <c r="A122" s="47"/>
      <c r="B122" s="633"/>
      <c r="C122" s="643"/>
      <c r="D122" s="680" t="s">
        <v>80</v>
      </c>
      <c r="E122" s="630" t="s">
        <v>81</v>
      </c>
      <c r="F122" s="646">
        <f>ROUND(SUM(F117:F121),2)</f>
        <v>443.52</v>
      </c>
      <c r="G122" s="59"/>
      <c r="H122" s="14"/>
      <c r="I122" s="14"/>
      <c r="J122" s="14"/>
      <c r="K122" s="15"/>
      <c r="L122" s="15"/>
      <c r="M122" s="15"/>
      <c r="N122" s="15"/>
      <c r="O122" s="15"/>
    </row>
    <row r="123" spans="1:15" ht="12.75" customHeight="1" thickTop="1">
      <c r="A123" s="47"/>
      <c r="B123" s="681" t="s">
        <v>82</v>
      </c>
      <c r="C123" s="682"/>
      <c r="D123" s="683"/>
      <c r="E123" s="684"/>
      <c r="F123" s="685">
        <f>ROUND(F122+F107,2)</f>
        <v>456.02</v>
      </c>
      <c r="G123" s="59"/>
      <c r="H123" s="14"/>
      <c r="I123" s="14"/>
      <c r="J123" s="14"/>
      <c r="K123" s="15"/>
      <c r="L123" s="15"/>
      <c r="M123" s="15"/>
      <c r="N123" s="15"/>
      <c r="O123" s="15"/>
    </row>
    <row r="124" spans="1:15" ht="12.75" customHeight="1" thickBot="1">
      <c r="A124" s="47"/>
      <c r="B124" s="664" t="s">
        <v>83</v>
      </c>
      <c r="C124" s="643">
        <f>($C$79*6*$C$117)/128</f>
        <v>0.03</v>
      </c>
      <c r="D124" s="665" t="s">
        <v>10</v>
      </c>
      <c r="E124" s="686">
        <v>330.6</v>
      </c>
      <c r="F124" s="667">
        <f>(C124*E124)+F123</f>
        <v>465.94</v>
      </c>
      <c r="G124" s="59"/>
      <c r="H124" s="14"/>
      <c r="I124" s="14"/>
      <c r="J124" s="14"/>
      <c r="K124" s="15"/>
      <c r="L124" s="15"/>
      <c r="M124" s="15"/>
      <c r="N124" s="15"/>
      <c r="O124" s="15"/>
    </row>
    <row r="125" spans="1:15" ht="14.25" customHeight="1" thickTop="1">
      <c r="A125" s="47"/>
      <c r="B125" s="609"/>
      <c r="C125" s="610"/>
      <c r="D125" s="611"/>
      <c r="E125" s="653"/>
      <c r="F125" s="679"/>
      <c r="G125" s="82"/>
      <c r="H125" s="14"/>
      <c r="I125" s="14"/>
      <c r="J125" s="14"/>
      <c r="K125" s="15"/>
      <c r="L125" s="15"/>
      <c r="M125" s="15"/>
      <c r="N125" s="15"/>
      <c r="O125" s="15"/>
    </row>
    <row r="126" spans="1:10" ht="12.75" customHeight="1" thickBot="1">
      <c r="A126" s="47"/>
      <c r="B126" s="650" t="s">
        <v>11</v>
      </c>
      <c r="C126" s="610"/>
      <c r="D126" s="609"/>
      <c r="E126" s="610"/>
      <c r="F126" s="610"/>
      <c r="G126" s="15"/>
      <c r="H126" s="15"/>
      <c r="I126" s="4"/>
      <c r="J126" s="4"/>
    </row>
    <row r="127" spans="1:10" ht="12.75" customHeight="1" thickTop="1">
      <c r="A127" s="47"/>
      <c r="B127" s="613" t="s">
        <v>84</v>
      </c>
      <c r="C127" s="614">
        <v>0.06</v>
      </c>
      <c r="D127" s="640" t="s">
        <v>7</v>
      </c>
      <c r="E127" s="657">
        <f>F92</f>
        <v>5023.96</v>
      </c>
      <c r="F127" s="632">
        <f>ROUND(C127*E127,2)</f>
        <v>301.44</v>
      </c>
      <c r="G127" s="48"/>
      <c r="H127" s="15"/>
      <c r="I127" s="4"/>
      <c r="J127" s="4"/>
    </row>
    <row r="128" spans="1:10" ht="12.75" customHeight="1">
      <c r="A128" s="47"/>
      <c r="B128" s="623" t="s">
        <v>63</v>
      </c>
      <c r="C128" s="624">
        <v>0.33</v>
      </c>
      <c r="D128" s="641" t="s">
        <v>64</v>
      </c>
      <c r="E128" s="658">
        <v>45</v>
      </c>
      <c r="F128" s="622">
        <f>ROUND(C128*E128,2)</f>
        <v>14.85</v>
      </c>
      <c r="G128" s="48"/>
      <c r="H128" s="15"/>
      <c r="I128" s="4"/>
      <c r="J128" s="4"/>
    </row>
    <row r="129" spans="1:10" ht="12.75" customHeight="1">
      <c r="A129" s="47"/>
      <c r="B129" s="623" t="s">
        <v>85</v>
      </c>
      <c r="C129" s="624">
        <v>1</v>
      </c>
      <c r="D129" s="641" t="s">
        <v>66</v>
      </c>
      <c r="E129" s="658">
        <v>6</v>
      </c>
      <c r="F129" s="622">
        <f>ROUND(C129*E129,2)</f>
        <v>6</v>
      </c>
      <c r="G129" s="48"/>
      <c r="H129" s="15"/>
      <c r="I129" s="4"/>
      <c r="J129" s="4"/>
    </row>
    <row r="130" spans="1:10" ht="12.75" customHeight="1">
      <c r="A130" s="47"/>
      <c r="B130" s="623" t="s">
        <v>15</v>
      </c>
      <c r="C130" s="624">
        <v>1</v>
      </c>
      <c r="D130" s="641" t="s">
        <v>8</v>
      </c>
      <c r="E130" s="658">
        <v>100</v>
      </c>
      <c r="F130" s="622">
        <f>ROUND(C130*E130,2)</f>
        <v>100</v>
      </c>
      <c r="G130" s="48"/>
      <c r="H130" s="15"/>
      <c r="I130" s="4"/>
      <c r="J130" s="4"/>
    </row>
    <row r="131" spans="1:10" ht="12.75" customHeight="1" thickBot="1">
      <c r="A131" s="47"/>
      <c r="B131" s="633"/>
      <c r="C131" s="643"/>
      <c r="D131" s="680" t="s">
        <v>80</v>
      </c>
      <c r="E131" s="630" t="s">
        <v>81</v>
      </c>
      <c r="F131" s="646">
        <f>ROUND(SUM(F127:F130),2)</f>
        <v>422.29</v>
      </c>
      <c r="G131" s="59"/>
      <c r="H131" s="15"/>
      <c r="I131" s="4"/>
      <c r="J131" s="4"/>
    </row>
    <row r="132" spans="1:10" ht="12.75" customHeight="1" thickTop="1">
      <c r="A132" s="47"/>
      <c r="B132" s="687"/>
      <c r="C132" s="638"/>
      <c r="D132" s="688"/>
      <c r="E132" s="648"/>
      <c r="F132" s="648"/>
      <c r="G132" s="59"/>
      <c r="H132" s="15"/>
      <c r="I132" s="4"/>
      <c r="J132" s="4"/>
    </row>
    <row r="133" spans="1:10" ht="12.75" customHeight="1" thickBot="1">
      <c r="A133" s="47"/>
      <c r="B133" s="650" t="s">
        <v>86</v>
      </c>
      <c r="C133" s="610"/>
      <c r="D133" s="611"/>
      <c r="E133" s="610"/>
      <c r="F133" s="610"/>
      <c r="G133" s="15"/>
      <c r="H133" s="14"/>
      <c r="I133" s="4"/>
      <c r="J133" s="4"/>
    </row>
    <row r="134" spans="1:15" ht="12.75" customHeight="1" thickTop="1">
      <c r="A134" s="47"/>
      <c r="B134" s="613" t="s">
        <v>87</v>
      </c>
      <c r="C134" s="689">
        <v>0.0043</v>
      </c>
      <c r="D134" s="640" t="s">
        <v>7</v>
      </c>
      <c r="E134" s="657">
        <f>+F84</f>
        <v>4794.42</v>
      </c>
      <c r="F134" s="632">
        <f>ROUND(C134*E134,2)</f>
        <v>20.62</v>
      </c>
      <c r="G134" s="48"/>
      <c r="H134" s="14"/>
      <c r="I134" s="14"/>
      <c r="J134" s="14"/>
      <c r="K134" s="15"/>
      <c r="L134" s="15"/>
      <c r="M134" s="15"/>
      <c r="N134" s="15"/>
      <c r="O134" s="15"/>
    </row>
    <row r="135" spans="1:15" ht="12.75" customHeight="1">
      <c r="A135" s="47"/>
      <c r="B135" s="623" t="s">
        <v>63</v>
      </c>
      <c r="C135" s="624">
        <v>0.11</v>
      </c>
      <c r="D135" s="641" t="s">
        <v>64</v>
      </c>
      <c r="E135" s="658">
        <v>45</v>
      </c>
      <c r="F135" s="622">
        <f>ROUND(C135*E135,2)</f>
        <v>4.95</v>
      </c>
      <c r="G135" s="48"/>
      <c r="H135" s="14"/>
      <c r="I135" s="14"/>
      <c r="J135" s="14"/>
      <c r="K135" s="15"/>
      <c r="L135" s="15"/>
      <c r="M135" s="15"/>
      <c r="N135" s="15"/>
      <c r="O135" s="15"/>
    </row>
    <row r="136" spans="1:15" ht="12.75" customHeight="1">
      <c r="A136" s="47"/>
      <c r="B136" s="623" t="s">
        <v>15</v>
      </c>
      <c r="C136" s="624">
        <v>1</v>
      </c>
      <c r="D136" s="641" t="s">
        <v>20</v>
      </c>
      <c r="E136" s="658">
        <v>35</v>
      </c>
      <c r="F136" s="622">
        <f>ROUND(C136*E136,2)</f>
        <v>35</v>
      </c>
      <c r="G136" s="48"/>
      <c r="H136" s="14"/>
      <c r="I136" s="14"/>
      <c r="J136" s="14"/>
      <c r="K136" s="15"/>
      <c r="L136" s="15"/>
      <c r="M136" s="15"/>
      <c r="N136" s="15"/>
      <c r="O136" s="15"/>
    </row>
    <row r="137" spans="1:15" ht="12.75" customHeight="1" thickBot="1">
      <c r="A137" s="47"/>
      <c r="B137" s="633"/>
      <c r="C137" s="643"/>
      <c r="D137" s="680" t="s">
        <v>80</v>
      </c>
      <c r="E137" s="645" t="s">
        <v>88</v>
      </c>
      <c r="F137" s="646">
        <f>ROUND(SUM(F134:F136),2)</f>
        <v>60.57</v>
      </c>
      <c r="G137" s="59"/>
      <c r="H137" s="14"/>
      <c r="I137" s="14"/>
      <c r="J137" s="14"/>
      <c r="K137" s="15"/>
      <c r="L137" s="15"/>
      <c r="M137" s="15"/>
      <c r="N137" s="15"/>
      <c r="O137" s="15"/>
    </row>
    <row r="138" spans="1:15" ht="12.75" customHeight="1" thickTop="1">
      <c r="A138" s="47"/>
      <c r="B138" s="635"/>
      <c r="C138" s="638"/>
      <c r="D138" s="611"/>
      <c r="E138" s="648"/>
      <c r="F138" s="648"/>
      <c r="G138" s="59"/>
      <c r="H138" s="14"/>
      <c r="I138" s="14"/>
      <c r="J138" s="14"/>
      <c r="K138" s="15"/>
      <c r="L138" s="15"/>
      <c r="M138" s="15"/>
      <c r="N138" s="15"/>
      <c r="O138" s="15"/>
    </row>
    <row r="139" spans="1:15" ht="12.75" customHeight="1" thickBot="1">
      <c r="A139" s="47"/>
      <c r="B139" s="690" t="s">
        <v>89</v>
      </c>
      <c r="C139" s="691"/>
      <c r="D139" s="692"/>
      <c r="E139" s="691"/>
      <c r="F139" s="691"/>
      <c r="G139" s="59"/>
      <c r="H139" s="14"/>
      <c r="I139" s="14"/>
      <c r="J139" s="14"/>
      <c r="K139" s="15"/>
      <c r="L139" s="15"/>
      <c r="M139" s="15"/>
      <c r="N139" s="15"/>
      <c r="O139" s="15"/>
    </row>
    <row r="140" spans="1:15" ht="12.75" customHeight="1" thickTop="1">
      <c r="A140" s="47"/>
      <c r="B140" s="693" t="s">
        <v>90</v>
      </c>
      <c r="C140" s="694">
        <v>0.00195</v>
      </c>
      <c r="D140" s="695" t="s">
        <v>7</v>
      </c>
      <c r="E140" s="696">
        <f>F84</f>
        <v>4794.42</v>
      </c>
      <c r="F140" s="632">
        <f>ROUND(C140*E140,2)</f>
        <v>9.35</v>
      </c>
      <c r="G140" s="59"/>
      <c r="H140" s="14"/>
      <c r="I140" s="14"/>
      <c r="J140" s="14"/>
      <c r="K140" s="15"/>
      <c r="L140" s="15"/>
      <c r="M140" s="15"/>
      <c r="N140" s="15"/>
      <c r="O140" s="15"/>
    </row>
    <row r="141" spans="1:15" ht="12.75" customHeight="1">
      <c r="A141" s="47"/>
      <c r="B141" s="697" t="s">
        <v>91</v>
      </c>
      <c r="C141" s="698">
        <v>0.0333</v>
      </c>
      <c r="D141" s="699" t="s">
        <v>64</v>
      </c>
      <c r="E141" s="700">
        <v>35</v>
      </c>
      <c r="F141" s="622">
        <f>ROUND(C141*E141,2)</f>
        <v>1.17</v>
      </c>
      <c r="G141" s="59"/>
      <c r="H141" s="14"/>
      <c r="I141" s="14"/>
      <c r="J141" s="14"/>
      <c r="K141" s="15"/>
      <c r="L141" s="15"/>
      <c r="M141" s="15"/>
      <c r="N141" s="15"/>
      <c r="O141" s="15"/>
    </row>
    <row r="142" spans="1:15" ht="12.75" customHeight="1">
      <c r="A142" s="47"/>
      <c r="B142" s="697" t="s">
        <v>15</v>
      </c>
      <c r="C142" s="701">
        <v>1</v>
      </c>
      <c r="D142" s="699" t="s">
        <v>8</v>
      </c>
      <c r="E142" s="700">
        <v>19.86</v>
      </c>
      <c r="F142" s="622">
        <f>ROUND(C142*E142,2)</f>
        <v>19.86</v>
      </c>
      <c r="G142" s="59"/>
      <c r="H142" s="14"/>
      <c r="I142" s="14"/>
      <c r="J142" s="14"/>
      <c r="K142" s="15"/>
      <c r="L142" s="15"/>
      <c r="M142" s="15"/>
      <c r="N142" s="15"/>
      <c r="O142" s="15"/>
    </row>
    <row r="143" spans="1:15" ht="12.75" customHeight="1" thickBot="1">
      <c r="A143" s="47"/>
      <c r="B143" s="702"/>
      <c r="C143" s="703"/>
      <c r="D143" s="704"/>
      <c r="E143" s="705" t="s">
        <v>8</v>
      </c>
      <c r="F143" s="706">
        <f>SUM(F140:F142)</f>
        <v>30.38</v>
      </c>
      <c r="G143" s="48"/>
      <c r="H143" s="14"/>
      <c r="I143" s="14"/>
      <c r="J143" s="14"/>
      <c r="K143" s="15"/>
      <c r="L143" s="15"/>
      <c r="M143" s="15"/>
      <c r="N143" s="15"/>
      <c r="O143" s="15"/>
    </row>
    <row r="144" spans="1:15" ht="12.75" customHeight="1" thickTop="1">
      <c r="A144" s="47"/>
      <c r="B144" s="635"/>
      <c r="C144" s="638"/>
      <c r="D144" s="611"/>
      <c r="E144" s="648"/>
      <c r="F144" s="648"/>
      <c r="G144" s="59"/>
      <c r="H144" s="14"/>
      <c r="I144" s="14"/>
      <c r="J144" s="14"/>
      <c r="K144" s="15"/>
      <c r="L144" s="15"/>
      <c r="M144" s="15"/>
      <c r="N144" s="15"/>
      <c r="O144" s="15"/>
    </row>
    <row r="145" spans="1:15" ht="12.75" customHeight="1" thickBot="1">
      <c r="A145" s="47"/>
      <c r="B145" s="707" t="s">
        <v>92</v>
      </c>
      <c r="C145" s="538"/>
      <c r="D145" s="538"/>
      <c r="E145" s="538"/>
      <c r="F145" s="538"/>
      <c r="G145" s="59"/>
      <c r="H145" s="14"/>
      <c r="I145" s="14"/>
      <c r="J145" s="14"/>
      <c r="K145" s="15"/>
      <c r="L145" s="15"/>
      <c r="M145" s="15"/>
      <c r="N145" s="15"/>
      <c r="O145" s="15"/>
    </row>
    <row r="146" spans="1:15" ht="26.25" customHeight="1" thickTop="1">
      <c r="A146" s="47"/>
      <c r="B146" s="708" t="s">
        <v>93</v>
      </c>
      <c r="C146" s="709">
        <v>0.00195</v>
      </c>
      <c r="D146" s="710" t="s">
        <v>7</v>
      </c>
      <c r="E146" s="711">
        <f>F84</f>
        <v>4794.42</v>
      </c>
      <c r="F146" s="632">
        <f>ROUND(C146*E146,2)</f>
        <v>9.35</v>
      </c>
      <c r="G146" s="59"/>
      <c r="H146" s="14"/>
      <c r="I146" s="14"/>
      <c r="J146" s="14"/>
      <c r="K146" s="15"/>
      <c r="L146" s="15"/>
      <c r="M146" s="15"/>
      <c r="N146" s="15"/>
      <c r="O146" s="15"/>
    </row>
    <row r="147" spans="1:15" ht="12.75" customHeight="1">
      <c r="A147" s="47"/>
      <c r="B147" s="712" t="s">
        <v>94</v>
      </c>
      <c r="C147" s="713">
        <v>1</v>
      </c>
      <c r="D147" s="714" t="s">
        <v>8</v>
      </c>
      <c r="E147" s="713">
        <v>19.86</v>
      </c>
      <c r="F147" s="622">
        <f>ROUND(C147*E147,2)</f>
        <v>19.86</v>
      </c>
      <c r="G147" s="59"/>
      <c r="H147" s="14"/>
      <c r="I147" s="14">
        <f>104.06/20</f>
        <v>5.2</v>
      </c>
      <c r="J147" s="14"/>
      <c r="K147" s="15"/>
      <c r="L147" s="15"/>
      <c r="M147" s="15"/>
      <c r="N147" s="15"/>
      <c r="O147" s="15"/>
    </row>
    <row r="148" spans="1:15" ht="12.75" customHeight="1" thickBot="1">
      <c r="A148" s="47"/>
      <c r="B148" s="715"/>
      <c r="C148" s="716"/>
      <c r="D148" s="717"/>
      <c r="E148" s="718" t="s">
        <v>95</v>
      </c>
      <c r="F148" s="719">
        <f>SUM(F146:F147)</f>
        <v>29.21</v>
      </c>
      <c r="G148" s="59"/>
      <c r="H148" s="14"/>
      <c r="I148" s="14"/>
      <c r="J148" s="14"/>
      <c r="K148" s="15"/>
      <c r="L148" s="15"/>
      <c r="M148" s="15"/>
      <c r="N148" s="15"/>
      <c r="O148" s="15"/>
    </row>
    <row r="149" spans="1:15" ht="12.75" customHeight="1" thickTop="1">
      <c r="A149" s="47"/>
      <c r="B149" s="635"/>
      <c r="C149" s="638"/>
      <c r="D149" s="611"/>
      <c r="E149" s="648"/>
      <c r="F149" s="648"/>
      <c r="G149" s="59"/>
      <c r="H149" s="14"/>
      <c r="I149" s="14"/>
      <c r="J149" s="14"/>
      <c r="K149" s="15"/>
      <c r="L149" s="15"/>
      <c r="M149" s="15"/>
      <c r="N149" s="15"/>
      <c r="O149" s="15"/>
    </row>
    <row r="150" spans="1:15" ht="12.75" customHeight="1" thickBot="1">
      <c r="A150" s="47"/>
      <c r="B150" s="720" t="s">
        <v>96</v>
      </c>
      <c r="C150" s="691"/>
      <c r="D150" s="692"/>
      <c r="E150" s="721" t="s">
        <v>97</v>
      </c>
      <c r="F150" s="722">
        <v>749.36</v>
      </c>
      <c r="G150" s="59"/>
      <c r="H150" s="14"/>
      <c r="I150" s="16"/>
      <c r="J150" s="14"/>
      <c r="K150" s="15"/>
      <c r="L150" s="15"/>
      <c r="M150" s="15"/>
      <c r="N150" s="15"/>
      <c r="O150" s="15"/>
    </row>
    <row r="151" spans="1:15" ht="12.75" customHeight="1" thickTop="1">
      <c r="A151" s="47"/>
      <c r="B151" s="693" t="s">
        <v>98</v>
      </c>
      <c r="C151" s="723">
        <v>1</v>
      </c>
      <c r="D151" s="695" t="s">
        <v>8</v>
      </c>
      <c r="E151" s="696">
        <v>44.96</v>
      </c>
      <c r="F151" s="632">
        <f>ROUND(C151*E151,2)</f>
        <v>44.96</v>
      </c>
      <c r="G151" s="59"/>
      <c r="H151" s="14"/>
      <c r="I151" s="14"/>
      <c r="J151" s="14"/>
      <c r="K151" s="15"/>
      <c r="L151" s="15"/>
      <c r="M151" s="15"/>
      <c r="N151" s="15"/>
      <c r="O151" s="15"/>
    </row>
    <row r="152" spans="1:15" ht="12.75" customHeight="1">
      <c r="A152" s="47"/>
      <c r="B152" s="697" t="s">
        <v>99</v>
      </c>
      <c r="C152" s="724">
        <v>1</v>
      </c>
      <c r="D152" s="699" t="s">
        <v>8</v>
      </c>
      <c r="E152" s="700">
        <v>38.4</v>
      </c>
      <c r="F152" s="622">
        <f>ROUND(C152*E152,2)</f>
        <v>38.4</v>
      </c>
      <c r="G152" s="59"/>
      <c r="H152" s="14"/>
      <c r="I152" s="100">
        <f>749.36/10</f>
        <v>74.94</v>
      </c>
      <c r="J152" s="14"/>
      <c r="K152" s="15"/>
      <c r="L152" s="15"/>
      <c r="M152" s="15"/>
      <c r="N152" s="15"/>
      <c r="O152" s="15"/>
    </row>
    <row r="153" spans="1:15" ht="12.75" customHeight="1">
      <c r="A153" s="47"/>
      <c r="B153" s="697" t="s">
        <v>100</v>
      </c>
      <c r="C153" s="701">
        <v>1</v>
      </c>
      <c r="D153" s="699" t="s">
        <v>6</v>
      </c>
      <c r="E153" s="700">
        <f>F151*0.03</f>
        <v>1.35</v>
      </c>
      <c r="F153" s="622">
        <f>ROUND(C153*E153,2)</f>
        <v>1.35</v>
      </c>
      <c r="G153" s="59"/>
      <c r="H153" s="14"/>
      <c r="I153" s="100">
        <f>I152*1.2</f>
        <v>89.93</v>
      </c>
      <c r="J153" s="14"/>
      <c r="K153" s="15"/>
      <c r="L153" s="15"/>
      <c r="M153" s="15"/>
      <c r="N153" s="15"/>
      <c r="O153" s="15"/>
    </row>
    <row r="154" spans="1:15" ht="12.75" customHeight="1" thickBot="1">
      <c r="A154" s="47"/>
      <c r="B154" s="702"/>
      <c r="C154" s="703"/>
      <c r="D154" s="704"/>
      <c r="E154" s="718" t="s">
        <v>101</v>
      </c>
      <c r="F154" s="706">
        <f>SUM(F151:F153)</f>
        <v>84.71</v>
      </c>
      <c r="G154" s="59"/>
      <c r="H154" s="14"/>
      <c r="I154" s="101">
        <v>38.4</v>
      </c>
      <c r="J154" s="14"/>
      <c r="K154" s="15"/>
      <c r="L154" s="15"/>
      <c r="M154" s="15"/>
      <c r="N154" s="15"/>
      <c r="O154" s="15"/>
    </row>
    <row r="155" spans="1:15" ht="12.75" customHeight="1" thickTop="1">
      <c r="A155" s="47"/>
      <c r="B155" s="635"/>
      <c r="C155" s="638"/>
      <c r="D155" s="611"/>
      <c r="E155" s="648"/>
      <c r="F155" s="648"/>
      <c r="G155" s="59"/>
      <c r="H155" s="14"/>
      <c r="I155" s="100">
        <f>I153*0.03</f>
        <v>2.7</v>
      </c>
      <c r="J155" s="14"/>
      <c r="K155" s="15"/>
      <c r="L155" s="15"/>
      <c r="M155" s="15"/>
      <c r="N155" s="15"/>
      <c r="O155" s="15"/>
    </row>
    <row r="156" spans="1:15" ht="12.75" customHeight="1" thickBot="1">
      <c r="A156" s="47"/>
      <c r="B156" s="725" t="s">
        <v>102</v>
      </c>
      <c r="C156" s="726"/>
      <c r="D156" s="727"/>
      <c r="E156" s="728"/>
      <c r="F156" s="728"/>
      <c r="G156" s="59"/>
      <c r="H156" s="14"/>
      <c r="I156" s="101">
        <f>SUM(I153:I155)</f>
        <v>131.03</v>
      </c>
      <c r="J156" s="14"/>
      <c r="K156" s="15"/>
      <c r="L156" s="15"/>
      <c r="M156" s="15"/>
      <c r="N156" s="15"/>
      <c r="O156" s="15"/>
    </row>
    <row r="157" spans="1:15" ht="12.75" customHeight="1" thickTop="1">
      <c r="A157" s="47"/>
      <c r="B157" s="729" t="s">
        <v>103</v>
      </c>
      <c r="C157" s="730">
        <v>1.05</v>
      </c>
      <c r="D157" s="731" t="s">
        <v>7</v>
      </c>
      <c r="E157" s="732">
        <f>F60</f>
        <v>4455.62</v>
      </c>
      <c r="F157" s="632">
        <f>ROUND(C157*E157,2)</f>
        <v>4678.4</v>
      </c>
      <c r="G157" s="59"/>
      <c r="H157" s="14"/>
      <c r="I157" s="101"/>
      <c r="J157" s="14"/>
      <c r="K157" s="15"/>
      <c r="L157" s="15"/>
      <c r="M157" s="15"/>
      <c r="N157" s="15"/>
      <c r="O157" s="15"/>
    </row>
    <row r="158" spans="1:15" ht="12.75" customHeight="1">
      <c r="A158" s="47"/>
      <c r="B158" s="733" t="s">
        <v>104</v>
      </c>
      <c r="C158" s="734">
        <v>44.44</v>
      </c>
      <c r="D158" s="735" t="s">
        <v>105</v>
      </c>
      <c r="E158" s="736">
        <v>39.82</v>
      </c>
      <c r="F158" s="622">
        <f>ROUND(C158*E158,2)</f>
        <v>1769.6</v>
      </c>
      <c r="G158" s="59"/>
      <c r="H158" s="14"/>
      <c r="I158" s="14"/>
      <c r="J158" s="14"/>
      <c r="K158" s="15"/>
      <c r="L158" s="15"/>
      <c r="M158" s="15"/>
      <c r="N158" s="15"/>
      <c r="O158" s="15"/>
    </row>
    <row r="159" spans="1:15" ht="12.75" customHeight="1">
      <c r="A159" s="47"/>
      <c r="B159" s="737"/>
      <c r="C159" s="738"/>
      <c r="D159" s="1401" t="s">
        <v>106</v>
      </c>
      <c r="E159" s="1402"/>
      <c r="F159" s="739">
        <f>SUM(F157:F158)</f>
        <v>6448</v>
      </c>
      <c r="G159" s="59"/>
      <c r="H159" s="14"/>
      <c r="I159" s="14"/>
      <c r="J159" s="14"/>
      <c r="K159" s="15"/>
      <c r="L159" s="15"/>
      <c r="M159" s="15"/>
      <c r="N159" s="15"/>
      <c r="O159" s="15"/>
    </row>
    <row r="160" spans="1:15" ht="12.75" customHeight="1" thickBot="1">
      <c r="A160" s="47"/>
      <c r="B160" s="740"/>
      <c r="C160" s="741"/>
      <c r="D160" s="1403" t="s">
        <v>107</v>
      </c>
      <c r="E160" s="1404"/>
      <c r="F160" s="742">
        <f>(F159*0.15*0.15)+(F137*0.21)</f>
        <v>157.8</v>
      </c>
      <c r="G160" s="59"/>
      <c r="H160" s="14"/>
      <c r="I160" s="14"/>
      <c r="J160" s="14"/>
      <c r="K160" s="15"/>
      <c r="L160" s="15"/>
      <c r="M160" s="15"/>
      <c r="N160" s="15"/>
      <c r="O160" s="15"/>
    </row>
    <row r="161" spans="1:15" ht="12.75" customHeight="1" thickTop="1">
      <c r="A161" s="47"/>
      <c r="B161" s="635"/>
      <c r="C161" s="638"/>
      <c r="D161" s="611"/>
      <c r="E161" s="648"/>
      <c r="F161" s="648"/>
      <c r="G161" s="59"/>
      <c r="H161" s="14"/>
      <c r="I161" s="14"/>
      <c r="J161" s="14"/>
      <c r="K161" s="15"/>
      <c r="L161" s="15"/>
      <c r="M161" s="15"/>
      <c r="N161" s="15"/>
      <c r="O161" s="15"/>
    </row>
    <row r="162" spans="1:15" ht="12.75" customHeight="1" thickBot="1">
      <c r="A162" s="47"/>
      <c r="B162" s="649" t="s">
        <v>108</v>
      </c>
      <c r="C162" s="638"/>
      <c r="D162" s="609"/>
      <c r="E162" s="648"/>
      <c r="F162" s="648"/>
      <c r="G162" s="59"/>
      <c r="H162" s="14"/>
      <c r="I162" s="14"/>
      <c r="J162" s="14"/>
      <c r="K162" s="15"/>
      <c r="L162" s="15"/>
      <c r="M162" s="15"/>
      <c r="N162" s="15"/>
      <c r="O162" s="15"/>
    </row>
    <row r="163" spans="1:15" ht="12.75" customHeight="1" thickTop="1">
      <c r="A163" s="47"/>
      <c r="B163" s="613" t="s">
        <v>109</v>
      </c>
      <c r="C163" s="614">
        <v>1</v>
      </c>
      <c r="D163" s="640" t="s">
        <v>33</v>
      </c>
      <c r="E163" s="614">
        <f>F18</f>
        <v>2450</v>
      </c>
      <c r="F163" s="632">
        <f>ROUND(C163*E163,2)</f>
        <v>2450</v>
      </c>
      <c r="G163" s="48"/>
      <c r="H163" s="14"/>
      <c r="I163" s="14"/>
      <c r="J163" s="14"/>
      <c r="K163" s="15"/>
      <c r="L163" s="15"/>
      <c r="M163" s="15"/>
      <c r="N163" s="15"/>
      <c r="O163" s="15"/>
    </row>
    <row r="164" spans="1:15" ht="12.75" customHeight="1">
      <c r="A164" s="47"/>
      <c r="B164" s="743" t="s">
        <v>113</v>
      </c>
      <c r="C164" s="619">
        <v>1</v>
      </c>
      <c r="D164" s="652" t="s">
        <v>33</v>
      </c>
      <c r="E164" s="619">
        <v>80.55</v>
      </c>
      <c r="F164" s="622">
        <f>ROUND(C164*E164,2)</f>
        <v>80.55</v>
      </c>
      <c r="G164" s="48"/>
      <c r="H164" s="14"/>
      <c r="I164" s="14"/>
      <c r="J164" s="14"/>
      <c r="K164" s="15"/>
      <c r="L164" s="15"/>
      <c r="M164" s="15"/>
      <c r="N164" s="15"/>
      <c r="O164" s="15"/>
    </row>
    <row r="165" spans="1:15" ht="12.75" customHeight="1">
      <c r="A165" s="47"/>
      <c r="B165" s="623" t="s">
        <v>110</v>
      </c>
      <c r="C165" s="624">
        <v>2</v>
      </c>
      <c r="D165" s="641" t="s">
        <v>111</v>
      </c>
      <c r="E165" s="624">
        <v>35</v>
      </c>
      <c r="F165" s="622">
        <f>ROUND(C165*E165,2)</f>
        <v>70</v>
      </c>
      <c r="G165" s="48"/>
      <c r="H165" s="14"/>
      <c r="I165" s="14"/>
      <c r="J165" s="14"/>
      <c r="K165" s="15"/>
      <c r="L165" s="15"/>
      <c r="M165" s="15"/>
      <c r="N165" s="15"/>
      <c r="O165" s="15"/>
    </row>
    <row r="166" spans="1:15" ht="12.75" customHeight="1" thickBot="1">
      <c r="A166" s="47"/>
      <c r="B166" s="633"/>
      <c r="C166" s="643"/>
      <c r="D166" s="680"/>
      <c r="E166" s="645" t="s">
        <v>47</v>
      </c>
      <c r="F166" s="646">
        <f>SUM(F163:F165)</f>
        <v>2600.55</v>
      </c>
      <c r="G166" s="59"/>
      <c r="H166" s="14"/>
      <c r="I166" s="14"/>
      <c r="J166" s="14"/>
      <c r="K166" s="15"/>
      <c r="L166" s="15"/>
      <c r="M166" s="15"/>
      <c r="N166" s="15"/>
      <c r="O166" s="15"/>
    </row>
    <row r="167" spans="1:15" ht="12.75" customHeight="1" thickTop="1">
      <c r="A167" s="47"/>
      <c r="B167" s="635"/>
      <c r="C167" s="638"/>
      <c r="D167" s="635"/>
      <c r="E167" s="638"/>
      <c r="F167" s="648"/>
      <c r="G167" s="59"/>
      <c r="H167" s="14"/>
      <c r="I167" s="14"/>
      <c r="J167" s="14"/>
      <c r="K167" s="15"/>
      <c r="L167" s="15"/>
      <c r="M167" s="15"/>
      <c r="N167" s="15"/>
      <c r="O167" s="15"/>
    </row>
    <row r="168" spans="1:15" ht="12.75" customHeight="1" thickBot="1">
      <c r="A168" s="47"/>
      <c r="B168" s="649" t="s">
        <v>112</v>
      </c>
      <c r="C168" s="638"/>
      <c r="D168" s="688"/>
      <c r="E168" s="648"/>
      <c r="F168" s="648"/>
      <c r="G168" s="59"/>
      <c r="H168" s="14"/>
      <c r="I168" s="14"/>
      <c r="J168" s="14"/>
      <c r="K168" s="15"/>
      <c r="L168" s="15"/>
      <c r="M168" s="15"/>
      <c r="N168" s="15"/>
      <c r="O168" s="15"/>
    </row>
    <row r="169" spans="1:15" ht="12.75" customHeight="1" thickTop="1">
      <c r="A169" s="47"/>
      <c r="B169" s="613" t="s">
        <v>109</v>
      </c>
      <c r="C169" s="614">
        <v>1</v>
      </c>
      <c r="D169" s="640" t="s">
        <v>33</v>
      </c>
      <c r="E169" s="614">
        <f>F18</f>
        <v>2450</v>
      </c>
      <c r="F169" s="632">
        <f>ROUND(C169*E169,2)</f>
        <v>2450</v>
      </c>
      <c r="G169" s="59"/>
      <c r="H169" s="14"/>
      <c r="I169" s="14"/>
      <c r="J169" s="14"/>
      <c r="K169" s="15"/>
      <c r="L169" s="15"/>
      <c r="M169" s="15"/>
      <c r="N169" s="15"/>
      <c r="O169" s="15"/>
    </row>
    <row r="170" spans="1:15" ht="12.75" customHeight="1">
      <c r="A170" s="47"/>
      <c r="B170" s="743" t="s">
        <v>113</v>
      </c>
      <c r="C170" s="624">
        <v>1</v>
      </c>
      <c r="D170" s="641" t="s">
        <v>33</v>
      </c>
      <c r="E170" s="624">
        <v>225.66</v>
      </c>
      <c r="F170" s="622">
        <f>ROUND(C170*E170,2)</f>
        <v>225.66</v>
      </c>
      <c r="G170" s="105"/>
      <c r="H170" s="14"/>
      <c r="I170" s="14"/>
      <c r="J170" s="14"/>
      <c r="K170" s="15"/>
      <c r="L170" s="15"/>
      <c r="M170" s="15"/>
      <c r="N170" s="15"/>
      <c r="O170" s="15"/>
    </row>
    <row r="171" spans="1:15" ht="12.75" customHeight="1">
      <c r="A171" s="47"/>
      <c r="B171" s="623" t="s">
        <v>110</v>
      </c>
      <c r="C171" s="624">
        <v>2</v>
      </c>
      <c r="D171" s="641" t="s">
        <v>111</v>
      </c>
      <c r="E171" s="624">
        <v>35</v>
      </c>
      <c r="F171" s="622">
        <f>ROUND(C171*E171,2)</f>
        <v>70</v>
      </c>
      <c r="G171" s="15"/>
      <c r="H171" s="14"/>
      <c r="I171" s="14"/>
      <c r="J171" s="14"/>
      <c r="K171" s="15"/>
      <c r="L171" s="15"/>
      <c r="M171" s="15"/>
      <c r="N171" s="15"/>
      <c r="O171" s="15"/>
    </row>
    <row r="172" spans="1:15" ht="12.75" customHeight="1" thickBot="1">
      <c r="A172" s="47"/>
      <c r="B172" s="633"/>
      <c r="C172" s="643"/>
      <c r="D172" s="680"/>
      <c r="E172" s="645" t="s">
        <v>47</v>
      </c>
      <c r="F172" s="646">
        <f>SUM(F169:F171)</f>
        <v>2745.66</v>
      </c>
      <c r="G172" s="15"/>
      <c r="H172" s="14"/>
      <c r="I172" s="14"/>
      <c r="J172" s="14"/>
      <c r="K172" s="15"/>
      <c r="L172" s="15"/>
      <c r="M172" s="15"/>
      <c r="N172" s="15"/>
      <c r="O172" s="15"/>
    </row>
    <row r="173" spans="1:15" ht="9.75" customHeight="1" thickTop="1">
      <c r="A173" s="47"/>
      <c r="B173" s="635"/>
      <c r="C173" s="638"/>
      <c r="D173" s="688"/>
      <c r="E173" s="648"/>
      <c r="F173" s="648"/>
      <c r="G173" s="29"/>
      <c r="H173" s="14"/>
      <c r="I173" s="14"/>
      <c r="J173" s="14"/>
      <c r="K173" s="15"/>
      <c r="L173" s="15"/>
      <c r="M173" s="15"/>
      <c r="N173" s="15"/>
      <c r="O173" s="15"/>
    </row>
    <row r="174" spans="1:15" ht="12.75" customHeight="1">
      <c r="A174" s="47"/>
      <c r="B174" s="744" t="s">
        <v>114</v>
      </c>
      <c r="C174" s="745"/>
      <c r="D174" s="744"/>
      <c r="E174" s="745"/>
      <c r="F174" s="745"/>
      <c r="G174" s="29"/>
      <c r="H174" s="14"/>
      <c r="I174" s="14"/>
      <c r="J174" s="14"/>
      <c r="K174" s="15"/>
      <c r="L174" s="15"/>
      <c r="M174" s="15"/>
      <c r="N174" s="15"/>
      <c r="O174" s="15"/>
    </row>
    <row r="175" spans="1:15" ht="9" customHeight="1">
      <c r="A175" s="47"/>
      <c r="B175" s="609"/>
      <c r="C175" s="610"/>
      <c r="D175" s="609"/>
      <c r="E175" s="610"/>
      <c r="F175" s="610"/>
      <c r="G175" s="29"/>
      <c r="H175" s="14"/>
      <c r="I175" s="14"/>
      <c r="J175" s="14"/>
      <c r="K175" s="15"/>
      <c r="L175" s="15"/>
      <c r="M175" s="15"/>
      <c r="N175" s="15"/>
      <c r="O175" s="15"/>
    </row>
    <row r="176" spans="1:15" ht="12.75" customHeight="1" thickBot="1">
      <c r="A176" s="47"/>
      <c r="B176" s="612" t="s">
        <v>115</v>
      </c>
      <c r="C176" s="610"/>
      <c r="D176" s="609"/>
      <c r="E176" s="610"/>
      <c r="F176" s="610"/>
      <c r="G176" s="29"/>
      <c r="H176" s="14"/>
      <c r="I176" s="14"/>
      <c r="J176" s="14"/>
      <c r="K176" s="15"/>
      <c r="L176" s="15"/>
      <c r="M176" s="15"/>
      <c r="N176" s="15"/>
      <c r="O176" s="15"/>
    </row>
    <row r="177" spans="1:15" ht="12.75" customHeight="1" thickTop="1">
      <c r="A177" s="47"/>
      <c r="B177" s="613" t="s">
        <v>29</v>
      </c>
      <c r="C177" s="614">
        <v>0.52</v>
      </c>
      <c r="D177" s="654" t="s">
        <v>7</v>
      </c>
      <c r="E177" s="614">
        <f>+F26</f>
        <v>1012</v>
      </c>
      <c r="F177" s="632">
        <f>ROUND(C177*E177,2)</f>
        <v>526.24</v>
      </c>
      <c r="G177" s="29"/>
      <c r="H177" s="14"/>
      <c r="I177" s="14"/>
      <c r="J177" s="14"/>
      <c r="K177" s="15"/>
      <c r="L177" s="15"/>
      <c r="M177" s="15"/>
      <c r="N177" s="15"/>
      <c r="O177" s="15"/>
    </row>
    <row r="178" spans="1:15" ht="12.75" customHeight="1">
      <c r="A178" s="47"/>
      <c r="B178" s="623" t="s">
        <v>30</v>
      </c>
      <c r="C178" s="624">
        <v>0.85</v>
      </c>
      <c r="D178" s="655" t="s">
        <v>7</v>
      </c>
      <c r="E178" s="624">
        <f>F32</f>
        <v>1362</v>
      </c>
      <c r="F178" s="622">
        <f>ROUND(C178*E178,2)</f>
        <v>1157.7</v>
      </c>
      <c r="G178" s="36"/>
      <c r="H178" s="14"/>
      <c r="I178" s="14"/>
      <c r="J178" s="14"/>
      <c r="K178" s="15"/>
      <c r="L178" s="15"/>
      <c r="M178" s="15"/>
      <c r="N178" s="15"/>
      <c r="O178" s="15"/>
    </row>
    <row r="179" spans="1:15" ht="12.75" customHeight="1">
      <c r="A179" s="47"/>
      <c r="B179" s="623" t="s">
        <v>24</v>
      </c>
      <c r="C179" s="624">
        <v>60</v>
      </c>
      <c r="D179" s="655" t="s">
        <v>10</v>
      </c>
      <c r="E179" s="624">
        <f>F12</f>
        <v>2.5</v>
      </c>
      <c r="F179" s="622">
        <f>ROUND(C179*E179,2)</f>
        <v>150</v>
      </c>
      <c r="G179" s="53"/>
      <c r="H179" s="14"/>
      <c r="I179" s="14"/>
      <c r="J179" s="14"/>
      <c r="K179" s="15"/>
      <c r="L179" s="15"/>
      <c r="M179" s="15"/>
      <c r="N179" s="15"/>
      <c r="O179" s="15"/>
    </row>
    <row r="180" spans="1:15" ht="12.75" customHeight="1">
      <c r="A180" s="47"/>
      <c r="B180" s="623" t="s">
        <v>116</v>
      </c>
      <c r="C180" s="624">
        <v>6.4</v>
      </c>
      <c r="D180" s="746" t="s">
        <v>44</v>
      </c>
      <c r="E180" s="624">
        <f>F13</f>
        <v>250</v>
      </c>
      <c r="F180" s="622">
        <f>ROUND(C180*E180,2)</f>
        <v>1600</v>
      </c>
      <c r="G180" s="36"/>
      <c r="H180" s="14"/>
      <c r="I180" s="14"/>
      <c r="J180" s="14"/>
      <c r="K180" s="15"/>
      <c r="L180" s="15"/>
      <c r="M180" s="15"/>
      <c r="N180" s="15"/>
      <c r="O180" s="15"/>
    </row>
    <row r="181" spans="1:15" ht="12.75" customHeight="1">
      <c r="A181" s="47"/>
      <c r="B181" s="623" t="s">
        <v>117</v>
      </c>
      <c r="C181" s="624">
        <v>0.5</v>
      </c>
      <c r="D181" s="655" t="s">
        <v>57</v>
      </c>
      <c r="E181" s="624">
        <v>650</v>
      </c>
      <c r="F181" s="622">
        <f>ROUND(C181*E181,2)</f>
        <v>325</v>
      </c>
      <c r="G181" s="15"/>
      <c r="H181" s="14"/>
      <c r="I181" s="14"/>
      <c r="J181" s="14"/>
      <c r="K181" s="15"/>
      <c r="L181" s="15"/>
      <c r="M181" s="15"/>
      <c r="N181" s="15"/>
      <c r="O181" s="15"/>
    </row>
    <row r="182" spans="1:15" ht="12.75" customHeight="1">
      <c r="A182" s="47"/>
      <c r="B182" s="743" t="s">
        <v>118</v>
      </c>
      <c r="C182" s="624"/>
      <c r="D182" s="747"/>
      <c r="E182" s="624"/>
      <c r="F182" s="642">
        <f>SUM(F177+F179+F180)*0.03</f>
        <v>68.29</v>
      </c>
      <c r="G182" s="48"/>
      <c r="H182" s="14"/>
      <c r="I182" s="14"/>
      <c r="J182" s="14"/>
      <c r="K182" s="15"/>
      <c r="L182" s="15"/>
      <c r="M182" s="15"/>
      <c r="N182" s="15"/>
      <c r="O182" s="15"/>
    </row>
    <row r="183" spans="1:15" ht="12.75" customHeight="1" thickBot="1">
      <c r="A183" s="47"/>
      <c r="B183" s="633"/>
      <c r="C183" s="643"/>
      <c r="D183" s="656"/>
      <c r="E183" s="645" t="s">
        <v>47</v>
      </c>
      <c r="F183" s="646">
        <f>SUM(F177:F182)</f>
        <v>3827.23</v>
      </c>
      <c r="G183" s="108"/>
      <c r="H183" s="14"/>
      <c r="I183" s="14"/>
      <c r="J183" s="14"/>
      <c r="K183" s="15"/>
      <c r="L183" s="15"/>
      <c r="M183" s="15"/>
      <c r="N183" s="15"/>
      <c r="O183" s="15"/>
    </row>
    <row r="184" spans="1:15" ht="12.75" customHeight="1" thickTop="1">
      <c r="A184" s="47"/>
      <c r="B184" s="609"/>
      <c r="C184" s="610"/>
      <c r="D184" s="609"/>
      <c r="E184" s="653"/>
      <c r="F184" s="653"/>
      <c r="G184" s="48"/>
      <c r="H184" s="14"/>
      <c r="I184" s="14"/>
      <c r="J184" s="14"/>
      <c r="K184" s="15"/>
      <c r="L184" s="15"/>
      <c r="M184" s="15"/>
      <c r="N184" s="15"/>
      <c r="O184" s="15"/>
    </row>
    <row r="185" spans="1:15" ht="12.75" customHeight="1" thickBot="1">
      <c r="A185" s="109"/>
      <c r="B185" s="650" t="s">
        <v>119</v>
      </c>
      <c r="C185" s="610"/>
      <c r="D185" s="609"/>
      <c r="E185" s="610"/>
      <c r="F185" s="610"/>
      <c r="G185" s="59"/>
      <c r="H185" s="14"/>
      <c r="I185" s="14"/>
      <c r="J185" s="14"/>
      <c r="K185" s="15"/>
      <c r="L185" s="15"/>
      <c r="M185" s="15"/>
      <c r="N185" s="15"/>
      <c r="O185" s="15"/>
    </row>
    <row r="186" spans="1:15" ht="12.75" customHeight="1" thickTop="1">
      <c r="A186" s="110"/>
      <c r="B186" s="613" t="s">
        <v>120</v>
      </c>
      <c r="C186" s="614">
        <v>0.8</v>
      </c>
      <c r="D186" s="654" t="s">
        <v>7</v>
      </c>
      <c r="E186" s="614">
        <f>+F69</f>
        <v>3131.96</v>
      </c>
      <c r="F186" s="632">
        <f>ROUND(C186*E186,2)</f>
        <v>2505.57</v>
      </c>
      <c r="G186" s="110"/>
      <c r="H186" s="14"/>
      <c r="I186" s="14"/>
      <c r="J186" s="14"/>
      <c r="K186" s="15"/>
      <c r="L186" s="15"/>
      <c r="M186" s="15"/>
      <c r="N186" s="15"/>
      <c r="O186" s="15"/>
    </row>
    <row r="187" spans="1:15" ht="13.5" customHeight="1">
      <c r="A187" s="110"/>
      <c r="B187" s="623" t="s">
        <v>121</v>
      </c>
      <c r="C187" s="624">
        <v>0.45</v>
      </c>
      <c r="D187" s="655" t="s">
        <v>7</v>
      </c>
      <c r="E187" s="624">
        <v>250</v>
      </c>
      <c r="F187" s="622">
        <f>ROUND(C187*E187,2)</f>
        <v>112.5</v>
      </c>
      <c r="G187" s="110"/>
      <c r="H187" s="14"/>
      <c r="I187" s="14"/>
      <c r="J187" s="14"/>
      <c r="K187" s="15"/>
      <c r="L187" s="15"/>
      <c r="M187" s="15"/>
      <c r="N187" s="15"/>
      <c r="O187" s="15"/>
    </row>
    <row r="188" spans="1:15" ht="12.75" customHeight="1">
      <c r="A188" s="110"/>
      <c r="B188" s="623" t="s">
        <v>15</v>
      </c>
      <c r="C188" s="624">
        <v>1</v>
      </c>
      <c r="D188" s="655" t="s">
        <v>7</v>
      </c>
      <c r="E188" s="624">
        <v>200</v>
      </c>
      <c r="F188" s="622">
        <f>ROUND(C188*E188,2)</f>
        <v>200</v>
      </c>
      <c r="G188" s="110"/>
      <c r="H188" s="14"/>
      <c r="I188" s="14"/>
      <c r="J188" s="14"/>
      <c r="K188" s="15"/>
      <c r="L188" s="15"/>
      <c r="M188" s="15"/>
      <c r="N188" s="15"/>
      <c r="O188" s="15"/>
    </row>
    <row r="189" spans="1:15" ht="12.75" customHeight="1" thickBot="1">
      <c r="A189" s="110"/>
      <c r="B189" s="633"/>
      <c r="C189" s="643"/>
      <c r="D189" s="656"/>
      <c r="E189" s="645" t="s">
        <v>47</v>
      </c>
      <c r="F189" s="646">
        <f>ROUND(SUM(F186:F188),2)</f>
        <v>2818.07</v>
      </c>
      <c r="G189" s="110"/>
      <c r="H189" s="14"/>
      <c r="I189" s="14">
        <v>14</v>
      </c>
      <c r="J189" s="14"/>
      <c r="K189" s="15"/>
      <c r="L189" s="15"/>
      <c r="M189" s="15"/>
      <c r="N189" s="15"/>
      <c r="O189" s="15"/>
    </row>
    <row r="190" spans="1:15" ht="12.75" customHeight="1" thickTop="1">
      <c r="A190" s="110"/>
      <c r="B190" s="748"/>
      <c r="C190" s="748"/>
      <c r="D190" s="748"/>
      <c r="E190" s="749"/>
      <c r="F190" s="750"/>
      <c r="G190" s="110"/>
      <c r="H190" s="14"/>
      <c r="I190" s="14"/>
      <c r="J190" s="14"/>
      <c r="K190" s="15"/>
      <c r="L190" s="15"/>
      <c r="M190" s="15"/>
      <c r="N190" s="15"/>
      <c r="O190" s="15"/>
    </row>
    <row r="191" spans="1:15" ht="12.75" customHeight="1" thickBot="1">
      <c r="A191" s="110"/>
      <c r="B191" s="751" t="s">
        <v>122</v>
      </c>
      <c r="C191" s="748"/>
      <c r="D191" s="748"/>
      <c r="E191" s="748"/>
      <c r="F191" s="748"/>
      <c r="G191" s="110"/>
      <c r="H191" s="14"/>
      <c r="I191" s="14"/>
      <c r="J191" s="14"/>
      <c r="K191" s="15"/>
      <c r="L191" s="15"/>
      <c r="M191" s="15"/>
      <c r="N191" s="15"/>
      <c r="O191" s="15"/>
    </row>
    <row r="192" spans="1:15" ht="12.75" customHeight="1" thickTop="1">
      <c r="A192" s="110"/>
      <c r="B192" s="752" t="s">
        <v>123</v>
      </c>
      <c r="C192" s="753">
        <v>13</v>
      </c>
      <c r="D192" s="754" t="s">
        <v>124</v>
      </c>
      <c r="E192" s="614">
        <v>22.5</v>
      </c>
      <c r="F192" s="632">
        <f aca="true" t="shared" si="1" ref="F192:F199">ROUND(C192*E192,2)</f>
        <v>292.5</v>
      </c>
      <c r="G192" s="110"/>
      <c r="H192" s="14"/>
      <c r="I192" s="14"/>
      <c r="J192" s="14"/>
      <c r="K192" s="15"/>
      <c r="L192" s="15"/>
      <c r="M192" s="15"/>
      <c r="N192" s="15"/>
      <c r="O192" s="15"/>
    </row>
    <row r="193" spans="1:15" ht="12.75" customHeight="1">
      <c r="A193" s="110"/>
      <c r="B193" s="755" t="s">
        <v>125</v>
      </c>
      <c r="C193" s="756">
        <v>13</v>
      </c>
      <c r="D193" s="757" t="s">
        <v>124</v>
      </c>
      <c r="E193" s="624">
        <v>12.5</v>
      </c>
      <c r="F193" s="622">
        <f t="shared" si="1"/>
        <v>162.5</v>
      </c>
      <c r="G193" s="110"/>
      <c r="H193" s="14"/>
      <c r="I193" s="14"/>
      <c r="J193" s="14"/>
      <c r="K193" s="15"/>
      <c r="L193" s="15"/>
      <c r="M193" s="15"/>
      <c r="N193" s="15"/>
      <c r="O193" s="15"/>
    </row>
    <row r="194" spans="1:15" ht="12.75" customHeight="1">
      <c r="A194" s="110"/>
      <c r="B194" s="758" t="s">
        <v>126</v>
      </c>
      <c r="C194" s="759">
        <v>0.0312</v>
      </c>
      <c r="D194" s="757" t="s">
        <v>7</v>
      </c>
      <c r="E194" s="624">
        <f>F92</f>
        <v>5023.96</v>
      </c>
      <c r="F194" s="622">
        <f t="shared" si="1"/>
        <v>156.75</v>
      </c>
      <c r="G194" s="110"/>
      <c r="H194" s="14"/>
      <c r="I194" s="14"/>
      <c r="J194" s="14"/>
      <c r="K194" s="15"/>
      <c r="L194" s="15"/>
      <c r="M194" s="15"/>
      <c r="N194" s="15"/>
      <c r="O194" s="15"/>
    </row>
    <row r="195" spans="1:15" ht="14.25" customHeight="1">
      <c r="A195" s="110"/>
      <c r="B195" s="755" t="s">
        <v>127</v>
      </c>
      <c r="C195" s="760">
        <v>0.01</v>
      </c>
      <c r="D195" s="757" t="s">
        <v>7</v>
      </c>
      <c r="E195" s="624">
        <f>F183</f>
        <v>3827.23</v>
      </c>
      <c r="F195" s="622">
        <f t="shared" si="1"/>
        <v>38.27</v>
      </c>
      <c r="G195" s="110"/>
      <c r="H195" s="14"/>
      <c r="I195" s="14"/>
      <c r="J195" s="14"/>
      <c r="K195" s="15"/>
      <c r="L195" s="15"/>
      <c r="M195" s="15"/>
      <c r="N195" s="15"/>
      <c r="O195" s="15"/>
    </row>
    <row r="196" spans="1:15" ht="12.75" customHeight="1">
      <c r="A196" s="110"/>
      <c r="B196" s="755" t="s">
        <v>128</v>
      </c>
      <c r="C196" s="759">
        <v>0.0296</v>
      </c>
      <c r="D196" s="757" t="s">
        <v>33</v>
      </c>
      <c r="E196" s="624">
        <f>F172</f>
        <v>2745.66</v>
      </c>
      <c r="F196" s="622">
        <f t="shared" si="1"/>
        <v>81.27</v>
      </c>
      <c r="G196" s="110"/>
      <c r="H196" s="14"/>
      <c r="I196" s="14">
        <v>15</v>
      </c>
      <c r="J196" s="14"/>
      <c r="K196" s="15"/>
      <c r="L196" s="15"/>
      <c r="M196" s="15"/>
      <c r="N196" s="15"/>
      <c r="O196" s="15"/>
    </row>
    <row r="197" spans="1:16" ht="12.75" customHeight="1">
      <c r="A197" s="110"/>
      <c r="B197" s="755" t="s">
        <v>129</v>
      </c>
      <c r="C197" s="759">
        <v>0.1818</v>
      </c>
      <c r="D197" s="757" t="s">
        <v>64</v>
      </c>
      <c r="E197" s="624">
        <v>45</v>
      </c>
      <c r="F197" s="622">
        <f t="shared" si="1"/>
        <v>8.18</v>
      </c>
      <c r="G197" s="110"/>
      <c r="H197" s="14"/>
      <c r="I197" s="14"/>
      <c r="J197" s="14"/>
      <c r="K197" s="15"/>
      <c r="L197" s="51"/>
      <c r="M197" s="51"/>
      <c r="N197" s="51"/>
      <c r="O197" s="111"/>
      <c r="P197" s="112"/>
    </row>
    <row r="198" spans="1:16" ht="12.75" customHeight="1">
      <c r="A198" s="110"/>
      <c r="B198" s="755" t="s">
        <v>130</v>
      </c>
      <c r="C198" s="759">
        <v>0.023</v>
      </c>
      <c r="D198" s="757" t="s">
        <v>57</v>
      </c>
      <c r="E198" s="624">
        <v>650</v>
      </c>
      <c r="F198" s="622">
        <f t="shared" si="1"/>
        <v>14.95</v>
      </c>
      <c r="G198" s="110"/>
      <c r="H198" s="14"/>
      <c r="I198" s="14"/>
      <c r="J198" s="14"/>
      <c r="K198" s="15"/>
      <c r="L198" s="51"/>
      <c r="M198" s="51"/>
      <c r="N198" s="51"/>
      <c r="O198" s="111"/>
      <c r="P198" s="112"/>
    </row>
    <row r="199" spans="1:16" ht="12.75" customHeight="1">
      <c r="A199" s="110"/>
      <c r="B199" s="755" t="s">
        <v>131</v>
      </c>
      <c r="C199" s="760">
        <v>0.01</v>
      </c>
      <c r="D199" s="757" t="s">
        <v>7</v>
      </c>
      <c r="E199" s="624">
        <v>650</v>
      </c>
      <c r="F199" s="622">
        <f t="shared" si="1"/>
        <v>6.5</v>
      </c>
      <c r="G199" s="110"/>
      <c r="H199" s="14"/>
      <c r="I199" s="14"/>
      <c r="J199" s="14"/>
      <c r="K199" s="15"/>
      <c r="L199" s="51"/>
      <c r="M199" s="51"/>
      <c r="N199" s="51"/>
      <c r="O199" s="111"/>
      <c r="P199" s="112"/>
    </row>
    <row r="200" spans="1:16" ht="12.75" customHeight="1" thickBot="1">
      <c r="A200" s="110"/>
      <c r="B200" s="761"/>
      <c r="C200" s="762"/>
      <c r="D200" s="1405" t="s">
        <v>308</v>
      </c>
      <c r="E200" s="1406"/>
      <c r="F200" s="763">
        <f>ROUND(SUM(F192:F199),2)</f>
        <v>760.92</v>
      </c>
      <c r="G200" s="110"/>
      <c r="H200" s="14"/>
      <c r="I200" s="14"/>
      <c r="J200" s="14"/>
      <c r="K200" s="15"/>
      <c r="L200" s="51"/>
      <c r="M200" s="51"/>
      <c r="N200" s="51"/>
      <c r="O200" s="111"/>
      <c r="P200" s="112"/>
    </row>
    <row r="201" spans="1:16" ht="12.75" customHeight="1" thickTop="1">
      <c r="A201" s="110"/>
      <c r="B201" s="748"/>
      <c r="C201" s="1407" t="s">
        <v>240</v>
      </c>
      <c r="D201" s="1407"/>
      <c r="E201" s="1407"/>
      <c r="F201" s="764">
        <f>(F200-F195)+((C195*5)*E195)</f>
        <v>914.01</v>
      </c>
      <c r="G201" s="110"/>
      <c r="H201" s="14"/>
      <c r="I201" s="14"/>
      <c r="J201" s="14"/>
      <c r="K201" s="15"/>
      <c r="L201" s="51"/>
      <c r="M201" s="51"/>
      <c r="N201" s="51"/>
      <c r="O201" s="111"/>
      <c r="P201" s="112"/>
    </row>
    <row r="202" spans="1:16" ht="12.75" customHeight="1">
      <c r="A202" s="110"/>
      <c r="B202" s="748"/>
      <c r="C202" s="765"/>
      <c r="D202" s="765"/>
      <c r="E202" s="765" t="s">
        <v>309</v>
      </c>
      <c r="F202" s="766">
        <f>F200-(F197+F198)</f>
        <v>737.79</v>
      </c>
      <c r="G202" s="110"/>
      <c r="H202" s="14"/>
      <c r="I202" s="14"/>
      <c r="J202" s="14"/>
      <c r="K202" s="15"/>
      <c r="L202" s="51"/>
      <c r="M202" s="51"/>
      <c r="N202" s="51"/>
      <c r="O202" s="111"/>
      <c r="P202" s="112"/>
    </row>
    <row r="203" spans="1:16" ht="6.75" customHeight="1">
      <c r="A203" s="110"/>
      <c r="B203" s="748"/>
      <c r="C203" s="765"/>
      <c r="D203" s="765"/>
      <c r="E203" s="765"/>
      <c r="F203" s="764"/>
      <c r="G203" s="110"/>
      <c r="H203" s="14"/>
      <c r="I203" s="14"/>
      <c r="J203" s="14"/>
      <c r="K203" s="15"/>
      <c r="L203" s="51"/>
      <c r="M203" s="51"/>
      <c r="N203" s="51"/>
      <c r="O203" s="111"/>
      <c r="P203" s="112"/>
    </row>
    <row r="204" spans="1:16" ht="12.75" customHeight="1" thickBot="1">
      <c r="A204" s="110"/>
      <c r="B204" s="751" t="s">
        <v>132</v>
      </c>
      <c r="C204" s="767"/>
      <c r="D204" s="748"/>
      <c r="E204" s="749"/>
      <c r="F204" s="750"/>
      <c r="G204" s="110"/>
      <c r="H204" s="109"/>
      <c r="I204" s="14"/>
      <c r="J204" s="14"/>
      <c r="K204" s="15"/>
      <c r="L204" s="51"/>
      <c r="M204" s="51"/>
      <c r="N204" s="51"/>
      <c r="O204" s="111"/>
      <c r="P204" s="112"/>
    </row>
    <row r="205" spans="1:16" ht="12.75" customHeight="1" thickTop="1">
      <c r="A205" s="110"/>
      <c r="B205" s="752" t="s">
        <v>133</v>
      </c>
      <c r="C205" s="753">
        <v>13</v>
      </c>
      <c r="D205" s="754" t="s">
        <v>124</v>
      </c>
      <c r="E205" s="614">
        <v>22</v>
      </c>
      <c r="F205" s="632">
        <f>ROUND(C205*E205,2)</f>
        <v>286</v>
      </c>
      <c r="G205" s="110"/>
      <c r="H205" s="109"/>
      <c r="I205" s="14"/>
      <c r="J205" s="14"/>
      <c r="K205" s="15"/>
      <c r="L205" s="51"/>
      <c r="M205" s="51"/>
      <c r="N205" s="51"/>
      <c r="O205" s="111"/>
      <c r="P205" s="112"/>
    </row>
    <row r="206" spans="1:7" s="109" customFormat="1" ht="12.75">
      <c r="A206" s="110"/>
      <c r="B206" s="755" t="s">
        <v>134</v>
      </c>
      <c r="C206" s="756">
        <v>13</v>
      </c>
      <c r="D206" s="757" t="s">
        <v>124</v>
      </c>
      <c r="E206" s="624">
        <v>16</v>
      </c>
      <c r="F206" s="622">
        <f>ROUND(C206*E206,2)</f>
        <v>208</v>
      </c>
      <c r="G206" s="110"/>
    </row>
    <row r="207" spans="1:7" s="109" customFormat="1" ht="12.75">
      <c r="A207" s="110"/>
      <c r="B207" s="755" t="s">
        <v>135</v>
      </c>
      <c r="C207" s="760">
        <v>0.0086</v>
      </c>
      <c r="D207" s="757" t="s">
        <v>7</v>
      </c>
      <c r="E207" s="624">
        <f>F84</f>
        <v>4794.42</v>
      </c>
      <c r="F207" s="622">
        <f>ROUND(C207*E207,2)</f>
        <v>41.23</v>
      </c>
      <c r="G207" s="110"/>
    </row>
    <row r="208" spans="1:7" s="109" customFormat="1" ht="12.75">
      <c r="A208" s="110"/>
      <c r="B208" s="755" t="s">
        <v>136</v>
      </c>
      <c r="C208" s="756">
        <v>0.13</v>
      </c>
      <c r="D208" s="757" t="s">
        <v>124</v>
      </c>
      <c r="E208" s="624">
        <v>40</v>
      </c>
      <c r="F208" s="622">
        <f>ROUND(C208*E208,2)</f>
        <v>5.2</v>
      </c>
      <c r="G208" s="110"/>
    </row>
    <row r="209" spans="1:7" s="109" customFormat="1" ht="13.5" thickBot="1">
      <c r="A209" s="110"/>
      <c r="B209" s="761"/>
      <c r="C209" s="768"/>
      <c r="D209" s="762"/>
      <c r="E209" s="769" t="s">
        <v>47</v>
      </c>
      <c r="F209" s="763">
        <f>ROUND(SUM(F205:F208),2)</f>
        <v>540.43</v>
      </c>
      <c r="G209" s="110"/>
    </row>
    <row r="210" spans="1:7" s="109" customFormat="1" ht="13.5" thickTop="1">
      <c r="A210" s="113"/>
      <c r="B210" s="770"/>
      <c r="C210" s="771"/>
      <c r="D210" s="770"/>
      <c r="E210" s="765"/>
      <c r="F210" s="772"/>
      <c r="G210" s="110"/>
    </row>
    <row r="211" spans="1:7" s="109" customFormat="1" ht="13.5" thickBot="1">
      <c r="A211" s="113"/>
      <c r="B211" s="773" t="s">
        <v>273</v>
      </c>
      <c r="C211" s="774"/>
      <c r="D211" s="775"/>
      <c r="E211" s="776"/>
      <c r="F211" s="777"/>
      <c r="G211" s="110"/>
    </row>
    <row r="212" spans="1:7" s="109" customFormat="1" ht="13.5" thickTop="1">
      <c r="A212" s="113"/>
      <c r="B212" s="778" t="s">
        <v>274</v>
      </c>
      <c r="C212" s="779">
        <v>0.2</v>
      </c>
      <c r="D212" s="780" t="s">
        <v>8</v>
      </c>
      <c r="E212" s="781">
        <f>F200</f>
        <v>760.92</v>
      </c>
      <c r="F212" s="632">
        <f>ROUND(C212*E212,2)</f>
        <v>152.18</v>
      </c>
      <c r="G212" s="110"/>
    </row>
    <row r="213" spans="1:7" s="109" customFormat="1" ht="12.75">
      <c r="A213" s="113"/>
      <c r="B213" s="782" t="s">
        <v>275</v>
      </c>
      <c r="C213" s="783">
        <v>0.4</v>
      </c>
      <c r="D213" s="784" t="s">
        <v>8</v>
      </c>
      <c r="E213" s="785">
        <f>F99</f>
        <v>246.8</v>
      </c>
      <c r="F213" s="622">
        <f>ROUND(C213*E213,2)</f>
        <v>98.72</v>
      </c>
      <c r="G213" s="110"/>
    </row>
    <row r="214" spans="1:7" s="109" customFormat="1" ht="12.75">
      <c r="A214" s="113"/>
      <c r="B214" s="786" t="s">
        <v>86</v>
      </c>
      <c r="C214" s="787">
        <v>2</v>
      </c>
      <c r="D214" s="788" t="s">
        <v>20</v>
      </c>
      <c r="E214" s="789">
        <f>F137</f>
        <v>60.57</v>
      </c>
      <c r="F214" s="622">
        <f>ROUND(C214*E214,2)</f>
        <v>121.14</v>
      </c>
      <c r="G214" s="110"/>
    </row>
    <row r="215" spans="1:7" s="109" customFormat="1" ht="13.5" thickBot="1">
      <c r="A215" s="113"/>
      <c r="B215" s="790"/>
      <c r="C215" s="791"/>
      <c r="D215" s="792"/>
      <c r="E215" s="793" t="s">
        <v>47</v>
      </c>
      <c r="F215" s="794">
        <f>SUM(F212:F214)</f>
        <v>372.04</v>
      </c>
      <c r="G215" s="110"/>
    </row>
    <row r="216" spans="1:7" s="109" customFormat="1" ht="7.5" customHeight="1" thickTop="1">
      <c r="A216" s="113"/>
      <c r="B216" s="770"/>
      <c r="C216" s="771"/>
      <c r="D216" s="770"/>
      <c r="E216" s="765"/>
      <c r="F216" s="772"/>
      <c r="G216" s="110"/>
    </row>
    <row r="217" spans="1:7" s="109" customFormat="1" ht="13.5" thickBot="1">
      <c r="A217" s="113"/>
      <c r="B217" s="751" t="s">
        <v>137</v>
      </c>
      <c r="C217" s="748"/>
      <c r="D217" s="748"/>
      <c r="E217" s="748"/>
      <c r="F217" s="748"/>
      <c r="G217" s="110"/>
    </row>
    <row r="218" spans="1:7" s="109" customFormat="1" ht="13.5" thickTop="1">
      <c r="A218" s="110"/>
      <c r="B218" s="752" t="s">
        <v>138</v>
      </c>
      <c r="C218" s="753">
        <v>1</v>
      </c>
      <c r="D218" s="754" t="s">
        <v>8</v>
      </c>
      <c r="E218" s="614">
        <v>45</v>
      </c>
      <c r="F218" s="632">
        <f>ROUND(C218*E218,2)</f>
        <v>45</v>
      </c>
      <c r="G218" s="110"/>
    </row>
    <row r="219" spans="1:7" s="109" customFormat="1" ht="12.75">
      <c r="A219" s="110"/>
      <c r="B219" s="755" t="s">
        <v>139</v>
      </c>
      <c r="C219" s="759">
        <v>0.105</v>
      </c>
      <c r="D219" s="757" t="s">
        <v>7</v>
      </c>
      <c r="E219" s="624">
        <f>F60</f>
        <v>4455.62</v>
      </c>
      <c r="F219" s="622">
        <f>ROUND(C219*E219,2)</f>
        <v>467.84</v>
      </c>
      <c r="G219" s="110"/>
    </row>
    <row r="220" spans="1:7" s="109" customFormat="1" ht="12.75">
      <c r="A220" s="110"/>
      <c r="B220" s="755" t="s">
        <v>63</v>
      </c>
      <c r="C220" s="759">
        <v>0.022</v>
      </c>
      <c r="D220" s="757" t="s">
        <v>64</v>
      </c>
      <c r="E220" s="624">
        <v>45</v>
      </c>
      <c r="F220" s="622">
        <f>ROUND(C220*E220,2)</f>
        <v>0.99</v>
      </c>
      <c r="G220" s="110"/>
    </row>
    <row r="221" spans="1:7" s="109" customFormat="1" ht="12.75">
      <c r="A221" s="110"/>
      <c r="B221" s="755" t="s">
        <v>140</v>
      </c>
      <c r="C221" s="756">
        <v>1</v>
      </c>
      <c r="D221" s="757" t="s">
        <v>8</v>
      </c>
      <c r="E221" s="624">
        <v>107.63</v>
      </c>
      <c r="F221" s="622">
        <f>ROUND(C221*E221,2)</f>
        <v>107.63</v>
      </c>
      <c r="G221" s="110"/>
    </row>
    <row r="222" spans="1:7" s="109" customFormat="1" ht="12.75">
      <c r="A222" s="110"/>
      <c r="B222" s="755" t="s">
        <v>141</v>
      </c>
      <c r="C222" s="756">
        <f>1/0.8</f>
        <v>1.25</v>
      </c>
      <c r="D222" s="757" t="s">
        <v>105</v>
      </c>
      <c r="E222" s="624">
        <f>F137</f>
        <v>60.57</v>
      </c>
      <c r="F222" s="622">
        <f>ROUND(C222*E222,2)</f>
        <v>75.71</v>
      </c>
      <c r="G222" s="110"/>
    </row>
    <row r="223" spans="1:7" s="109" customFormat="1" ht="13.5" thickBot="1">
      <c r="A223" s="110"/>
      <c r="B223" s="761"/>
      <c r="C223" s="762"/>
      <c r="D223" s="762"/>
      <c r="E223" s="769" t="s">
        <v>47</v>
      </c>
      <c r="F223" s="795">
        <f>ROUND(SUM(F218:F222),2)</f>
        <v>697.17</v>
      </c>
      <c r="G223" s="110"/>
    </row>
    <row r="224" spans="1:7" s="109" customFormat="1" ht="13.5" thickTop="1">
      <c r="A224" s="110"/>
      <c r="B224" s="751" t="s">
        <v>142</v>
      </c>
      <c r="C224" s="796">
        <f>ROUND(F223-(F222)+(E222*1/0.4),2)</f>
        <v>772.89</v>
      </c>
      <c r="D224" s="770"/>
      <c r="E224" s="765"/>
      <c r="F224" s="797"/>
      <c r="G224" s="110"/>
    </row>
    <row r="225" spans="1:7" s="109" customFormat="1" ht="12.75">
      <c r="A225" s="110"/>
      <c r="B225" s="751" t="s">
        <v>143</v>
      </c>
      <c r="C225" s="796">
        <f>ROUND(F223-(F222)+(E222*1/0.6),2)</f>
        <v>722.41</v>
      </c>
      <c r="D225" s="770"/>
      <c r="E225" s="765"/>
      <c r="F225" s="797"/>
      <c r="G225" s="110"/>
    </row>
    <row r="226" spans="1:7" s="109" customFormat="1" ht="12.75">
      <c r="A226" s="110"/>
      <c r="B226" s="751" t="s">
        <v>144</v>
      </c>
      <c r="C226" s="796">
        <f>ROUND(F223-F222+(E222*1/1),2)</f>
        <v>682.03</v>
      </c>
      <c r="D226" s="770"/>
      <c r="E226" s="765"/>
      <c r="F226" s="797"/>
      <c r="G226" s="110"/>
    </row>
    <row r="227" spans="1:7" s="109" customFormat="1" ht="6" customHeight="1">
      <c r="A227" s="110"/>
      <c r="B227" s="751"/>
      <c r="C227" s="796"/>
      <c r="D227" s="798"/>
      <c r="E227" s="799"/>
      <c r="F227" s="800"/>
      <c r="G227" s="110"/>
    </row>
    <row r="228" spans="1:7" s="109" customFormat="1" ht="13.5" thickBot="1">
      <c r="A228" s="110"/>
      <c r="B228" s="801" t="s">
        <v>145</v>
      </c>
      <c r="C228" s="770"/>
      <c r="D228" s="770"/>
      <c r="E228" s="802"/>
      <c r="F228" s="772"/>
      <c r="G228" s="110"/>
    </row>
    <row r="229" spans="1:7" s="109" customFormat="1" ht="13.5" thickTop="1">
      <c r="A229" s="110"/>
      <c r="B229" s="752" t="s">
        <v>146</v>
      </c>
      <c r="C229" s="753">
        <v>0.08</v>
      </c>
      <c r="D229" s="803" t="s">
        <v>7</v>
      </c>
      <c r="E229" s="804">
        <f>F183</f>
        <v>3827.23</v>
      </c>
      <c r="F229" s="632">
        <f aca="true" t="shared" si="2" ref="F229:F234">ROUND(C229*E229,2)</f>
        <v>306.18</v>
      </c>
      <c r="G229" s="110"/>
    </row>
    <row r="230" spans="1:7" s="109" customFormat="1" ht="12.75">
      <c r="A230" s="110"/>
      <c r="B230" s="805" t="s">
        <v>147</v>
      </c>
      <c r="C230" s="806">
        <v>0.022</v>
      </c>
      <c r="D230" s="757" t="s">
        <v>7</v>
      </c>
      <c r="E230" s="807">
        <f>F84</f>
        <v>4794.42</v>
      </c>
      <c r="F230" s="622">
        <f t="shared" si="2"/>
        <v>105.48</v>
      </c>
      <c r="G230" s="110"/>
    </row>
    <row r="231" spans="1:7" s="109" customFormat="1" ht="12.75">
      <c r="A231" s="110"/>
      <c r="B231" s="755" t="s">
        <v>63</v>
      </c>
      <c r="C231" s="759">
        <v>0.088</v>
      </c>
      <c r="D231" s="808" t="s">
        <v>64</v>
      </c>
      <c r="E231" s="807">
        <v>45</v>
      </c>
      <c r="F231" s="622">
        <f t="shared" si="2"/>
        <v>3.96</v>
      </c>
      <c r="G231" s="110"/>
    </row>
    <row r="232" spans="1:7" s="109" customFormat="1" ht="12" customHeight="1">
      <c r="A232" s="118"/>
      <c r="B232" s="755" t="s">
        <v>148</v>
      </c>
      <c r="C232" s="756">
        <v>1</v>
      </c>
      <c r="D232" s="757" t="s">
        <v>8</v>
      </c>
      <c r="E232" s="807">
        <v>98.5</v>
      </c>
      <c r="F232" s="622">
        <f t="shared" si="2"/>
        <v>98.5</v>
      </c>
      <c r="G232" s="110"/>
    </row>
    <row r="233" spans="1:9" s="109" customFormat="1" ht="12.75">
      <c r="A233" s="119"/>
      <c r="B233" s="755" t="s">
        <v>141</v>
      </c>
      <c r="C233" s="756">
        <v>0.8</v>
      </c>
      <c r="D233" s="757" t="s">
        <v>105</v>
      </c>
      <c r="E233" s="807">
        <f>F137</f>
        <v>60.57</v>
      </c>
      <c r="F233" s="622">
        <f t="shared" si="2"/>
        <v>48.46</v>
      </c>
      <c r="G233" s="110"/>
      <c r="I233" s="120"/>
    </row>
    <row r="234" spans="1:7" s="109" customFormat="1" ht="12.75">
      <c r="A234" s="119"/>
      <c r="B234" s="755" t="s">
        <v>149</v>
      </c>
      <c r="C234" s="759">
        <v>0.04</v>
      </c>
      <c r="D234" s="809" t="s">
        <v>44</v>
      </c>
      <c r="E234" s="807">
        <f>F13</f>
        <v>250</v>
      </c>
      <c r="F234" s="622">
        <f t="shared" si="2"/>
        <v>10</v>
      </c>
      <c r="G234" s="110"/>
    </row>
    <row r="235" spans="1:7" s="109" customFormat="1" ht="13.5" thickBot="1">
      <c r="A235" s="119"/>
      <c r="B235" s="761"/>
      <c r="C235" s="762"/>
      <c r="D235" s="762"/>
      <c r="E235" s="769" t="s">
        <v>47</v>
      </c>
      <c r="F235" s="763">
        <f>ROUND(SUM(F229:F234),2)</f>
        <v>572.58</v>
      </c>
      <c r="G235" s="110"/>
    </row>
    <row r="236" spans="1:7" s="109" customFormat="1" ht="14.25" thickBot="1" thickTop="1">
      <c r="A236" s="119"/>
      <c r="B236" s="810" t="s">
        <v>254</v>
      </c>
      <c r="C236" s="811">
        <v>0.45</v>
      </c>
      <c r="D236" s="812" t="s">
        <v>150</v>
      </c>
      <c r="E236" s="813">
        <v>37.22</v>
      </c>
      <c r="F236" s="814">
        <f>(C236*E236)+F235</f>
        <v>589.33</v>
      </c>
      <c r="G236" s="110"/>
    </row>
    <row r="237" spans="1:7" s="109" customFormat="1" ht="14.25" thickBot="1" thickTop="1">
      <c r="A237" s="119"/>
      <c r="B237" s="810" t="s">
        <v>255</v>
      </c>
      <c r="C237" s="811"/>
      <c r="D237" s="811"/>
      <c r="E237" s="815"/>
      <c r="F237" s="816">
        <f>F235-F234</f>
        <v>562.58</v>
      </c>
      <c r="G237" s="110"/>
    </row>
    <row r="238" spans="1:7" s="109" customFormat="1" ht="13.5" thickTop="1">
      <c r="A238" s="119"/>
      <c r="B238" s="114"/>
      <c r="C238" s="114"/>
      <c r="D238" s="114"/>
      <c r="E238" s="115"/>
      <c r="F238" s="117"/>
      <c r="G238" s="110"/>
    </row>
    <row r="239" spans="1:7" s="109" customFormat="1" ht="15">
      <c r="A239" s="119"/>
      <c r="B239" s="121" t="s">
        <v>151</v>
      </c>
      <c r="C239" s="122"/>
      <c r="D239" s="122"/>
      <c r="E239" s="122"/>
      <c r="F239" s="122"/>
      <c r="G239" s="110"/>
    </row>
    <row r="240" spans="1:7" s="109" customFormat="1" ht="13.5" thickBot="1">
      <c r="A240" s="119"/>
      <c r="B240" s="123" t="s">
        <v>152</v>
      </c>
      <c r="C240" s="124"/>
      <c r="D240" s="124"/>
      <c r="E240" s="124"/>
      <c r="F240" s="125"/>
      <c r="G240" s="110"/>
    </row>
    <row r="241" spans="1:7" s="109" customFormat="1" ht="13.5" thickTop="1">
      <c r="A241" s="119"/>
      <c r="B241" s="126" t="s">
        <v>139</v>
      </c>
      <c r="C241" s="127">
        <v>1.05</v>
      </c>
      <c r="D241" s="128" t="s">
        <v>7</v>
      </c>
      <c r="E241" s="129">
        <f>F60</f>
        <v>4455.62</v>
      </c>
      <c r="F241" s="23">
        <f>ROUND(C241*E241,2)</f>
        <v>4678.4</v>
      </c>
      <c r="G241" s="110"/>
    </row>
    <row r="242" spans="1:7" s="109" customFormat="1" ht="12.75">
      <c r="A242" s="119"/>
      <c r="B242" s="130" t="s">
        <v>153</v>
      </c>
      <c r="C242" s="131">
        <v>0.6</v>
      </c>
      <c r="D242" s="132" t="s">
        <v>33</v>
      </c>
      <c r="E242" s="133">
        <f>F166</f>
        <v>2600.55</v>
      </c>
      <c r="F242" s="353">
        <f>ROUND(C242*E242,2)</f>
        <v>1560.33</v>
      </c>
      <c r="G242" s="110"/>
    </row>
    <row r="243" spans="2:6" ht="12.75">
      <c r="B243" s="134" t="s">
        <v>15</v>
      </c>
      <c r="C243" s="135">
        <v>11.11</v>
      </c>
      <c r="D243" s="136" t="s">
        <v>20</v>
      </c>
      <c r="E243" s="137">
        <v>61.2</v>
      </c>
      <c r="F243" s="353">
        <f>ROUND(C243*E243,2)</f>
        <v>679.93</v>
      </c>
    </row>
    <row r="244" spans="2:6" ht="13.5" thickBot="1">
      <c r="B244" s="138"/>
      <c r="C244" s="139"/>
      <c r="D244" s="139"/>
      <c r="E244" s="140"/>
      <c r="F244" s="141">
        <f>SUM(F241:F243)</f>
        <v>6918.66</v>
      </c>
    </row>
    <row r="245" spans="2:6" ht="14.25" thickBot="1" thickTop="1">
      <c r="B245" s="142"/>
      <c r="C245" s="142"/>
      <c r="D245" s="142"/>
      <c r="E245" s="142"/>
      <c r="F245" s="143"/>
    </row>
    <row r="246" spans="2:6" ht="13.5" thickTop="1">
      <c r="B246" s="314" t="s">
        <v>0</v>
      </c>
      <c r="C246" s="315">
        <v>12</v>
      </c>
      <c r="D246" s="96" t="s">
        <v>20</v>
      </c>
      <c r="E246" s="316">
        <v>60</v>
      </c>
      <c r="F246" s="23">
        <f aca="true" t="shared" si="3" ref="F246:F266">ROUND(C246*E246,2)</f>
        <v>720</v>
      </c>
    </row>
    <row r="247" spans="2:6" ht="12.75">
      <c r="B247" s="317" t="s">
        <v>154</v>
      </c>
      <c r="C247" s="148">
        <v>6.75</v>
      </c>
      <c r="D247" s="145" t="s">
        <v>7</v>
      </c>
      <c r="E247" s="146">
        <v>240.23</v>
      </c>
      <c r="F247" s="353">
        <f t="shared" si="3"/>
        <v>1621.55</v>
      </c>
    </row>
    <row r="248" spans="2:10" ht="12.75">
      <c r="B248" s="318" t="s">
        <v>155</v>
      </c>
      <c r="C248" s="144">
        <v>3.42</v>
      </c>
      <c r="D248" s="145" t="s">
        <v>7</v>
      </c>
      <c r="E248" s="146">
        <v>70.16</v>
      </c>
      <c r="F248" s="353">
        <f t="shared" si="3"/>
        <v>239.95</v>
      </c>
      <c r="J248" s="3">
        <v>60</v>
      </c>
    </row>
    <row r="249" spans="2:8" ht="12.75">
      <c r="B249" s="318" t="s">
        <v>412</v>
      </c>
      <c r="C249" s="484">
        <v>4</v>
      </c>
      <c r="D249" s="145" t="s">
        <v>7</v>
      </c>
      <c r="E249" s="146">
        <v>75</v>
      </c>
      <c r="F249" s="353">
        <f t="shared" si="3"/>
        <v>300</v>
      </c>
      <c r="H249" s="3">
        <f>(C247-C248)*1.2</f>
        <v>4</v>
      </c>
    </row>
    <row r="250" spans="2:10" ht="12.75">
      <c r="B250" s="318" t="s">
        <v>156</v>
      </c>
      <c r="C250" s="144">
        <v>1.35</v>
      </c>
      <c r="D250" s="145" t="s">
        <v>7</v>
      </c>
      <c r="E250" s="147">
        <f>+F244</f>
        <v>6918.66</v>
      </c>
      <c r="F250" s="353">
        <f t="shared" si="3"/>
        <v>9340.19</v>
      </c>
      <c r="J250" s="3">
        <v>12</v>
      </c>
    </row>
    <row r="251" spans="2:10" ht="12.75">
      <c r="B251" s="318" t="s">
        <v>157</v>
      </c>
      <c r="C251" s="148">
        <v>7.2</v>
      </c>
      <c r="D251" s="145" t="s">
        <v>8</v>
      </c>
      <c r="E251" s="149">
        <f>F200</f>
        <v>760.92</v>
      </c>
      <c r="F251" s="353">
        <f t="shared" si="3"/>
        <v>5478.62</v>
      </c>
      <c r="J251" s="3">
        <f>J250*J248</f>
        <v>720</v>
      </c>
    </row>
    <row r="252" spans="2:6" ht="12.75">
      <c r="B252" s="318" t="s">
        <v>158</v>
      </c>
      <c r="C252" s="148">
        <v>12</v>
      </c>
      <c r="D252" s="145" t="s">
        <v>105</v>
      </c>
      <c r="E252" s="149">
        <f>(F84*0.09)/12</f>
        <v>35.96</v>
      </c>
      <c r="F252" s="353">
        <f t="shared" si="3"/>
        <v>431.52</v>
      </c>
    </row>
    <row r="253" spans="2:6" ht="12.75">
      <c r="B253" s="317" t="s">
        <v>159</v>
      </c>
      <c r="C253" s="148">
        <v>4</v>
      </c>
      <c r="D253" s="145" t="s">
        <v>124</v>
      </c>
      <c r="E253" s="330">
        <v>504.6</v>
      </c>
      <c r="F253" s="353">
        <f t="shared" si="3"/>
        <v>2018.4</v>
      </c>
    </row>
    <row r="254" spans="2:6" ht="12.75">
      <c r="B254" s="318" t="s">
        <v>160</v>
      </c>
      <c r="C254" s="148">
        <v>2</v>
      </c>
      <c r="D254" s="145" t="s">
        <v>124</v>
      </c>
      <c r="E254" s="330">
        <v>609</v>
      </c>
      <c r="F254" s="353">
        <f t="shared" si="3"/>
        <v>1218</v>
      </c>
    </row>
    <row r="255" spans="2:6" ht="12.75">
      <c r="B255" s="317" t="s">
        <v>161</v>
      </c>
      <c r="C255" s="148">
        <v>21.6</v>
      </c>
      <c r="D255" s="145" t="s">
        <v>8</v>
      </c>
      <c r="E255" s="330">
        <v>204.05</v>
      </c>
      <c r="F255" s="353">
        <f t="shared" si="3"/>
        <v>4407.48</v>
      </c>
    </row>
    <row r="256" spans="2:6" ht="12.75">
      <c r="B256" s="318" t="s">
        <v>162</v>
      </c>
      <c r="C256" s="148">
        <v>2</v>
      </c>
      <c r="D256" s="145" t="s">
        <v>124</v>
      </c>
      <c r="E256" s="149">
        <v>38</v>
      </c>
      <c r="F256" s="353">
        <f t="shared" si="3"/>
        <v>76</v>
      </c>
    </row>
    <row r="257" spans="2:6" ht="12.75">
      <c r="B257" s="318" t="s">
        <v>163</v>
      </c>
      <c r="C257" s="148">
        <v>3</v>
      </c>
      <c r="D257" s="145" t="s">
        <v>124</v>
      </c>
      <c r="E257" s="330">
        <v>52.2</v>
      </c>
      <c r="F257" s="353">
        <f t="shared" si="3"/>
        <v>156.6</v>
      </c>
    </row>
    <row r="258" spans="2:6" ht="12.75">
      <c r="B258" s="317" t="s">
        <v>164</v>
      </c>
      <c r="C258" s="148">
        <v>4</v>
      </c>
      <c r="D258" s="145" t="s">
        <v>124</v>
      </c>
      <c r="E258" s="330">
        <v>168.2</v>
      </c>
      <c r="F258" s="353">
        <f t="shared" si="3"/>
        <v>672.8</v>
      </c>
    </row>
    <row r="259" spans="2:6" ht="12.75">
      <c r="B259" s="318" t="s">
        <v>165</v>
      </c>
      <c r="C259" s="148">
        <v>72</v>
      </c>
      <c r="D259" s="145" t="s">
        <v>105</v>
      </c>
      <c r="E259" s="146">
        <v>9.3</v>
      </c>
      <c r="F259" s="353">
        <f t="shared" si="3"/>
        <v>669.6</v>
      </c>
    </row>
    <row r="260" spans="2:9" ht="12.75">
      <c r="B260" s="317" t="s">
        <v>166</v>
      </c>
      <c r="C260" s="148">
        <v>1</v>
      </c>
      <c r="D260" s="145" t="s">
        <v>111</v>
      </c>
      <c r="E260" s="149">
        <v>27.6</v>
      </c>
      <c r="F260" s="353">
        <f t="shared" si="3"/>
        <v>27.6</v>
      </c>
      <c r="I260" s="175"/>
    </row>
    <row r="261" spans="2:6" ht="12.75">
      <c r="B261" s="318" t="s">
        <v>167</v>
      </c>
      <c r="C261" s="148">
        <v>10.08</v>
      </c>
      <c r="D261" s="145" t="s">
        <v>8</v>
      </c>
      <c r="E261" s="149">
        <f>F99</f>
        <v>246.8</v>
      </c>
      <c r="F261" s="353">
        <f t="shared" si="3"/>
        <v>2487.74</v>
      </c>
    </row>
    <row r="262" spans="2:6" ht="12.75">
      <c r="B262" s="318" t="s">
        <v>168</v>
      </c>
      <c r="C262" s="148">
        <v>34.2</v>
      </c>
      <c r="D262" s="145" t="s">
        <v>8</v>
      </c>
      <c r="E262" s="149">
        <v>130.5</v>
      </c>
      <c r="F262" s="353">
        <f t="shared" si="3"/>
        <v>4463.1</v>
      </c>
    </row>
    <row r="263" spans="2:6" ht="12.75">
      <c r="B263" s="318" t="s">
        <v>169</v>
      </c>
      <c r="C263" s="148">
        <v>2</v>
      </c>
      <c r="D263" s="145" t="s">
        <v>124</v>
      </c>
      <c r="E263" s="330">
        <v>214.6</v>
      </c>
      <c r="F263" s="353">
        <f t="shared" si="3"/>
        <v>429.2</v>
      </c>
    </row>
    <row r="264" spans="2:6" ht="12.75">
      <c r="B264" s="318" t="s">
        <v>170</v>
      </c>
      <c r="C264" s="148">
        <v>6</v>
      </c>
      <c r="D264" s="145" t="s">
        <v>124</v>
      </c>
      <c r="E264" s="330">
        <v>27.84</v>
      </c>
      <c r="F264" s="353">
        <f t="shared" si="3"/>
        <v>167.04</v>
      </c>
    </row>
    <row r="265" spans="2:6" ht="12.75">
      <c r="B265" s="318" t="s">
        <v>15</v>
      </c>
      <c r="C265" s="148">
        <v>12</v>
      </c>
      <c r="D265" s="145" t="s">
        <v>105</v>
      </c>
      <c r="E265" s="149">
        <v>259.8</v>
      </c>
      <c r="F265" s="353">
        <f t="shared" si="3"/>
        <v>3117.6</v>
      </c>
    </row>
    <row r="266" spans="2:6" ht="12.75">
      <c r="B266" s="318" t="s">
        <v>171</v>
      </c>
      <c r="C266" s="148">
        <v>12.6</v>
      </c>
      <c r="D266" s="145" t="s">
        <v>8</v>
      </c>
      <c r="E266" s="149">
        <v>130.5</v>
      </c>
      <c r="F266" s="353">
        <f t="shared" si="3"/>
        <v>1644.3</v>
      </c>
    </row>
    <row r="267" spans="2:6" ht="12.75">
      <c r="B267" s="319" t="s">
        <v>172</v>
      </c>
      <c r="C267" s="150"/>
      <c r="D267" s="150"/>
      <c r="E267" s="151"/>
      <c r="F267" s="320">
        <f>SUM(F246:F266)</f>
        <v>39687.29</v>
      </c>
    </row>
    <row r="268" spans="2:6" ht="13.5" thickBot="1">
      <c r="B268" s="321" t="s">
        <v>173</v>
      </c>
      <c r="C268" s="322"/>
      <c r="D268" s="323"/>
      <c r="E268" s="152" t="s">
        <v>174</v>
      </c>
      <c r="F268" s="324">
        <f>ROUND(F267/12,2)</f>
        <v>3307.27</v>
      </c>
    </row>
    <row r="269" spans="2:6" ht="15" customHeight="1" thickTop="1">
      <c r="B269" s="21" t="s">
        <v>299</v>
      </c>
      <c r="C269" s="22">
        <v>3</v>
      </c>
      <c r="D269" s="173" t="s">
        <v>124</v>
      </c>
      <c r="E269" s="22">
        <f>F295</f>
        <v>440.99</v>
      </c>
      <c r="F269" s="353">
        <f>ROUND(C269*E269,2)</f>
        <v>1322.97</v>
      </c>
    </row>
    <row r="270" spans="2:6" ht="15" customHeight="1">
      <c r="B270" s="319" t="s">
        <v>306</v>
      </c>
      <c r="C270" s="325"/>
      <c r="D270" s="326"/>
      <c r="E270" s="325"/>
      <c r="F270" s="327">
        <f>F267+F269</f>
        <v>41010.26</v>
      </c>
    </row>
    <row r="271" spans="2:6" ht="15" customHeight="1" thickBot="1">
      <c r="B271" s="321" t="s">
        <v>307</v>
      </c>
      <c r="C271" s="328"/>
      <c r="D271" s="329"/>
      <c r="E271" s="328"/>
      <c r="F271" s="324">
        <f>ROUND(F270/12,2)</f>
        <v>3417.52</v>
      </c>
    </row>
    <row r="272" ht="9.75" customHeight="1" thickTop="1">
      <c r="D272" s="2"/>
    </row>
    <row r="273" spans="2:4" ht="13.5" thickBot="1">
      <c r="B273" s="50" t="s">
        <v>175</v>
      </c>
      <c r="D273" s="2"/>
    </row>
    <row r="274" spans="2:6" ht="13.5" thickTop="1">
      <c r="B274" s="126" t="s">
        <v>139</v>
      </c>
      <c r="C274" s="127">
        <v>1.05</v>
      </c>
      <c r="D274" s="128" t="s">
        <v>7</v>
      </c>
      <c r="E274" s="129">
        <f>F60</f>
        <v>4455.62</v>
      </c>
      <c r="F274" s="23">
        <f>ROUND(C274*E274,2)</f>
        <v>4678.4</v>
      </c>
    </row>
    <row r="275" spans="2:6" ht="12.75">
      <c r="B275" s="130" t="s">
        <v>153</v>
      </c>
      <c r="C275" s="131">
        <v>1.14</v>
      </c>
      <c r="D275" s="132" t="s">
        <v>33</v>
      </c>
      <c r="E275" s="133">
        <f>F172</f>
        <v>2745.66</v>
      </c>
      <c r="F275" s="353">
        <f>ROUND(C275*E275,2)</f>
        <v>3130.05</v>
      </c>
    </row>
    <row r="276" spans="2:6" ht="13.5" thickBot="1">
      <c r="B276" s="138"/>
      <c r="C276" s="139"/>
      <c r="D276" s="139"/>
      <c r="E276" s="152" t="s">
        <v>176</v>
      </c>
      <c r="F276" s="141">
        <f>SUM(F274:F275)</f>
        <v>7808.45</v>
      </c>
    </row>
    <row r="277" ht="8.25" customHeight="1" thickTop="1">
      <c r="D277" s="2"/>
    </row>
    <row r="278" spans="2:6" ht="13.5" thickBot="1">
      <c r="B278" s="154" t="s">
        <v>294</v>
      </c>
      <c r="C278" s="124"/>
      <c r="D278" s="124"/>
      <c r="E278" s="124"/>
      <c r="F278" s="125"/>
    </row>
    <row r="279" spans="2:9" ht="13.5" thickTop="1">
      <c r="B279" s="126" t="s">
        <v>177</v>
      </c>
      <c r="C279" s="127">
        <v>1.05</v>
      </c>
      <c r="D279" s="128" t="s">
        <v>7</v>
      </c>
      <c r="E279" s="129">
        <f>F50</f>
        <v>4962.82</v>
      </c>
      <c r="F279" s="23">
        <f>ROUND(C279*E279,2)</f>
        <v>5210.96</v>
      </c>
      <c r="I279" s="153"/>
    </row>
    <row r="280" spans="2:9" ht="12.75">
      <c r="B280" s="130" t="s">
        <v>153</v>
      </c>
      <c r="C280" s="131">
        <v>3.63</v>
      </c>
      <c r="D280" s="132" t="s">
        <v>33</v>
      </c>
      <c r="E280" s="133">
        <f>F172</f>
        <v>2745.66</v>
      </c>
      <c r="F280" s="353">
        <f>ROUND(C280*E280,2)</f>
        <v>9966.75</v>
      </c>
      <c r="I280" s="153"/>
    </row>
    <row r="281" spans="2:9" ht="12.75">
      <c r="B281" s="134" t="s">
        <v>178</v>
      </c>
      <c r="C281" s="135">
        <v>16</v>
      </c>
      <c r="D281" s="136" t="s">
        <v>20</v>
      </c>
      <c r="E281" s="137">
        <v>325</v>
      </c>
      <c r="F281" s="353">
        <f>ROUND(C281*E281,2)</f>
        <v>5200</v>
      </c>
      <c r="I281" s="153"/>
    </row>
    <row r="282" spans="2:9" ht="13.5" thickBot="1">
      <c r="B282" s="138"/>
      <c r="C282" s="139"/>
      <c r="D282" s="139"/>
      <c r="E282" s="152" t="s">
        <v>176</v>
      </c>
      <c r="F282" s="141">
        <f>SUM(F279:F281)</f>
        <v>20377.71</v>
      </c>
      <c r="I282" s="206"/>
    </row>
    <row r="283" spans="2:9" ht="13.5" thickTop="1">
      <c r="B283" s="498" t="s">
        <v>298</v>
      </c>
      <c r="C283" s="22">
        <v>0.18</v>
      </c>
      <c r="D283" s="173" t="s">
        <v>7</v>
      </c>
      <c r="E283" s="22">
        <f>F282</f>
        <v>20377.71</v>
      </c>
      <c r="F283" s="499">
        <f>ROUND(C283*E283,2)</f>
        <v>3667.99</v>
      </c>
      <c r="I283" s="313"/>
    </row>
    <row r="284" spans="2:9" ht="12.75">
      <c r="B284" s="500" t="s">
        <v>475</v>
      </c>
      <c r="C284" s="28">
        <v>0.14</v>
      </c>
      <c r="D284" s="174" t="s">
        <v>7</v>
      </c>
      <c r="E284" s="28">
        <f>F276</f>
        <v>7808.45</v>
      </c>
      <c r="F284" s="353">
        <f>ROUND(C284*E284,2)</f>
        <v>1093.18</v>
      </c>
      <c r="I284" s="313"/>
    </row>
    <row r="285" spans="2:9" ht="12.75">
      <c r="B285" s="500" t="s">
        <v>275</v>
      </c>
      <c r="C285" s="28">
        <v>2.86</v>
      </c>
      <c r="D285" s="174" t="s">
        <v>8</v>
      </c>
      <c r="E285" s="28">
        <f>F99</f>
        <v>246.8</v>
      </c>
      <c r="F285" s="353">
        <f>ROUND(C285*E285,2)</f>
        <v>705.85</v>
      </c>
      <c r="I285" s="313"/>
    </row>
    <row r="286" spans="2:9" ht="12.75">
      <c r="B286" s="500" t="s">
        <v>86</v>
      </c>
      <c r="C286" s="28">
        <v>12.2</v>
      </c>
      <c r="D286" s="174" t="s">
        <v>20</v>
      </c>
      <c r="E286" s="28">
        <f>F137</f>
        <v>60.57</v>
      </c>
      <c r="F286" s="353">
        <f>ROUND(C286*E286,2)</f>
        <v>738.95</v>
      </c>
      <c r="I286" s="313"/>
    </row>
    <row r="287" spans="2:9" ht="12.75" customHeight="1">
      <c r="B287" s="501" t="s">
        <v>416</v>
      </c>
      <c r="C287" s="28">
        <v>1.76</v>
      </c>
      <c r="D287" s="372" t="s">
        <v>8</v>
      </c>
      <c r="E287" s="325">
        <v>95.48</v>
      </c>
      <c r="F287" s="353">
        <f>ROUND(C287*E287,2)</f>
        <v>168.04</v>
      </c>
      <c r="I287" s="175"/>
    </row>
    <row r="288" spans="2:9" ht="12.75" customHeight="1" thickBot="1">
      <c r="B288" s="502"/>
      <c r="C288" s="328"/>
      <c r="D288" s="329"/>
      <c r="E288" s="503" t="s">
        <v>476</v>
      </c>
      <c r="F288" s="31">
        <f>SUM(F283:F287)</f>
        <v>6374.01</v>
      </c>
      <c r="I288" s="175"/>
    </row>
    <row r="289" spans="4:9" ht="12.75" customHeight="1" thickTop="1">
      <c r="D289" s="2"/>
      <c r="I289" s="175"/>
    </row>
    <row r="290" spans="2:6" ht="13.5" thickBot="1">
      <c r="B290" s="49" t="s">
        <v>295</v>
      </c>
      <c r="C290" s="300"/>
      <c r="D290" s="301"/>
      <c r="E290" s="300"/>
      <c r="F290" s="300"/>
    </row>
    <row r="291" spans="2:6" ht="13.5" thickTop="1">
      <c r="B291" s="21" t="s">
        <v>139</v>
      </c>
      <c r="C291" s="302">
        <v>1.05</v>
      </c>
      <c r="D291" s="173" t="s">
        <v>7</v>
      </c>
      <c r="E291" s="302">
        <f>F60</f>
        <v>4455.62</v>
      </c>
      <c r="F291" s="23">
        <f>ROUND(C291*E291,2)</f>
        <v>4678.4</v>
      </c>
    </row>
    <row r="292" spans="2:9" ht="12.75">
      <c r="B292" s="27" t="s">
        <v>153</v>
      </c>
      <c r="C292" s="303">
        <v>8.15</v>
      </c>
      <c r="D292" s="174" t="s">
        <v>33</v>
      </c>
      <c r="E292" s="303">
        <f>F172</f>
        <v>2745.66</v>
      </c>
      <c r="F292" s="353">
        <f>ROUND(C292*E292,2)</f>
        <v>22377.13</v>
      </c>
      <c r="I292" s="311"/>
    </row>
    <row r="293" spans="2:6" ht="12.75">
      <c r="B293" s="27" t="s">
        <v>247</v>
      </c>
      <c r="C293" s="303">
        <v>44.44</v>
      </c>
      <c r="D293" s="174" t="s">
        <v>105</v>
      </c>
      <c r="E293" s="303">
        <v>100</v>
      </c>
      <c r="F293" s="353">
        <f>ROUND(C293*E293,2)</f>
        <v>4444</v>
      </c>
    </row>
    <row r="294" spans="2:6" ht="13.5" thickBot="1">
      <c r="B294" s="35"/>
      <c r="C294" s="304"/>
      <c r="D294" s="183"/>
      <c r="E294" s="305"/>
      <c r="F294" s="306">
        <f>SUM(F291:F293)</f>
        <v>31499.53</v>
      </c>
    </row>
    <row r="295" spans="2:6" ht="13.5" thickTop="1">
      <c r="B295" s="307" t="s">
        <v>296</v>
      </c>
      <c r="C295" s="310">
        <f>0.15*0.15*0.6</f>
        <v>0.014</v>
      </c>
      <c r="D295" s="309" t="s">
        <v>7</v>
      </c>
      <c r="E295" s="308">
        <f>F294</f>
        <v>31499.53</v>
      </c>
      <c r="F295" s="312">
        <f>ROUND(C295*E295,2)</f>
        <v>440.99</v>
      </c>
    </row>
    <row r="296" ht="12.75">
      <c r="D296" s="2"/>
    </row>
    <row r="297" ht="12.75">
      <c r="D297" s="2"/>
    </row>
    <row r="298" spans="2:6" ht="13.5" thickBot="1">
      <c r="B298" s="155" t="s">
        <v>315</v>
      </c>
      <c r="C298" s="156"/>
      <c r="D298" s="157"/>
      <c r="E298" s="156"/>
      <c r="F298" s="156"/>
    </row>
    <row r="299" spans="2:6" ht="13.5" thickTop="1">
      <c r="B299" s="158" t="s">
        <v>311</v>
      </c>
      <c r="C299" s="159">
        <v>0.08</v>
      </c>
      <c r="D299" s="160" t="s">
        <v>25</v>
      </c>
      <c r="E299" s="161">
        <v>210</v>
      </c>
      <c r="F299" s="23">
        <f>ROUND(C299*E299,2)</f>
        <v>16.8</v>
      </c>
    </row>
    <row r="300" spans="2:6" ht="12.75">
      <c r="B300" s="162" t="s">
        <v>312</v>
      </c>
      <c r="C300" s="163">
        <v>1</v>
      </c>
      <c r="D300" s="164" t="s">
        <v>8</v>
      </c>
      <c r="E300" s="165">
        <v>35.68</v>
      </c>
      <c r="F300" s="353">
        <f>ROUND(C300*E300,2)</f>
        <v>35.68</v>
      </c>
    </row>
    <row r="301" spans="2:6" ht="12.75">
      <c r="B301" s="162" t="s">
        <v>313</v>
      </c>
      <c r="C301" s="163">
        <v>15</v>
      </c>
      <c r="D301" s="166" t="s">
        <v>181</v>
      </c>
      <c r="E301" s="165">
        <f>F299</f>
        <v>16.8</v>
      </c>
      <c r="F301" s="353">
        <f>ROUND(C301*E301,2)/100</f>
        <v>2.52</v>
      </c>
    </row>
    <row r="302" spans="2:6" ht="13.5" thickBot="1">
      <c r="B302" s="167"/>
      <c r="C302" s="168"/>
      <c r="D302" s="169"/>
      <c r="E302" s="152" t="s">
        <v>314</v>
      </c>
      <c r="F302" s="339">
        <f>SUM(F299:F301)</f>
        <v>55</v>
      </c>
    </row>
    <row r="303" ht="12.75">
      <c r="D303" s="2"/>
    </row>
    <row r="304" spans="2:6" ht="13.5" thickBot="1">
      <c r="B304" s="155" t="s">
        <v>310</v>
      </c>
      <c r="C304" s="156"/>
      <c r="D304" s="157"/>
      <c r="E304" s="156"/>
      <c r="F304" s="156"/>
    </row>
    <row r="305" spans="2:6" ht="13.5" thickTop="1">
      <c r="B305" s="158" t="s">
        <v>305</v>
      </c>
      <c r="C305" s="159">
        <v>0.08</v>
      </c>
      <c r="D305" s="160" t="s">
        <v>25</v>
      </c>
      <c r="E305" s="161">
        <v>650</v>
      </c>
      <c r="F305" s="353">
        <f>ROUND(C305*E305,2)</f>
        <v>52</v>
      </c>
    </row>
    <row r="306" spans="2:8" ht="12.75">
      <c r="B306" s="162" t="s">
        <v>179</v>
      </c>
      <c r="C306" s="163">
        <v>1</v>
      </c>
      <c r="D306" s="164" t="s">
        <v>8</v>
      </c>
      <c r="E306" s="165">
        <v>35.68</v>
      </c>
      <c r="F306" s="353">
        <f>ROUND(C306*E306,2)</f>
        <v>35.68</v>
      </c>
      <c r="H306" s="153">
        <v>21.41</v>
      </c>
    </row>
    <row r="307" spans="2:8" ht="12.75">
      <c r="B307" s="162" t="s">
        <v>180</v>
      </c>
      <c r="C307" s="163">
        <v>15</v>
      </c>
      <c r="D307" s="166" t="s">
        <v>181</v>
      </c>
      <c r="E307" s="165">
        <f>F305</f>
        <v>52</v>
      </c>
      <c r="F307" s="353">
        <f>ROUND(C307*E307,2)/100</f>
        <v>7.8</v>
      </c>
      <c r="H307" s="153">
        <v>14.27</v>
      </c>
    </row>
    <row r="308" spans="2:8" ht="13.5" thickBot="1">
      <c r="B308" s="167"/>
      <c r="C308" s="168"/>
      <c r="D308" s="169"/>
      <c r="E308" s="152" t="s">
        <v>314</v>
      </c>
      <c r="F308" s="340">
        <f>SUM(F305:F307)</f>
        <v>95.48</v>
      </c>
      <c r="H308" s="153">
        <f>H307+H306</f>
        <v>35.68</v>
      </c>
    </row>
    <row r="309" ht="12.75">
      <c r="D309" s="2"/>
    </row>
    <row r="310" spans="2:6" ht="15.75">
      <c r="B310" s="1399" t="s">
        <v>221</v>
      </c>
      <c r="C310" s="1399"/>
      <c r="D310" s="1399"/>
      <c r="E310" s="1399"/>
      <c r="F310" s="1399"/>
    </row>
    <row r="311" ht="12.75">
      <c r="D311" s="2"/>
    </row>
    <row r="312" spans="2:6" ht="13.5" thickBot="1">
      <c r="B312" s="154" t="s">
        <v>222</v>
      </c>
      <c r="C312" s="210">
        <v>0.15</v>
      </c>
      <c r="D312" s="124"/>
      <c r="E312" s="124"/>
      <c r="F312" s="125"/>
    </row>
    <row r="313" spans="2:6" ht="13.5" thickTop="1">
      <c r="B313" s="126" t="s">
        <v>227</v>
      </c>
      <c r="C313" s="127">
        <v>1.05</v>
      </c>
      <c r="D313" s="128" t="s">
        <v>7</v>
      </c>
      <c r="E313" s="129">
        <f>F41</f>
        <v>5982.82</v>
      </c>
      <c r="F313" s="23">
        <f>ROUND(C313*E313,2)</f>
        <v>6281.96</v>
      </c>
    </row>
    <row r="314" spans="2:6" ht="12.75">
      <c r="B314" s="130" t="s">
        <v>153</v>
      </c>
      <c r="C314" s="131">
        <v>3.01</v>
      </c>
      <c r="D314" s="132" t="s">
        <v>33</v>
      </c>
      <c r="E314" s="133">
        <f>F172</f>
        <v>2745.66</v>
      </c>
      <c r="F314" s="353">
        <f>ROUND(C314*E314,2)</f>
        <v>8264.44</v>
      </c>
    </row>
    <row r="315" spans="2:6" ht="12.75">
      <c r="B315" s="134" t="s">
        <v>178</v>
      </c>
      <c r="C315" s="135">
        <f>ROUND(1/C312,2)</f>
        <v>6.67</v>
      </c>
      <c r="D315" s="136" t="s">
        <v>20</v>
      </c>
      <c r="E315" s="137">
        <v>550</v>
      </c>
      <c r="F315" s="353">
        <f>ROUND(C315*E315,2)</f>
        <v>3668.5</v>
      </c>
    </row>
    <row r="316" spans="2:6" ht="13.5" thickBot="1">
      <c r="B316" s="138"/>
      <c r="C316" s="139"/>
      <c r="D316" s="139"/>
      <c r="E316" s="152" t="s">
        <v>176</v>
      </c>
      <c r="F316" s="141">
        <f>SUM(F313:F315)</f>
        <v>18214.9</v>
      </c>
    </row>
    <row r="317" ht="13.5" thickTop="1">
      <c r="D317" s="2"/>
    </row>
    <row r="318" spans="2:6" ht="13.5" thickBot="1">
      <c r="B318" s="154" t="s">
        <v>498</v>
      </c>
      <c r="C318" s="210"/>
      <c r="D318" s="124"/>
      <c r="E318" s="124"/>
      <c r="F318" s="125"/>
    </row>
    <row r="319" spans="2:6" ht="13.5" thickTop="1">
      <c r="B319" s="126" t="s">
        <v>227</v>
      </c>
      <c r="C319" s="127">
        <v>1.05</v>
      </c>
      <c r="D319" s="128" t="s">
        <v>7</v>
      </c>
      <c r="E319" s="129">
        <f>F41</f>
        <v>5982.82</v>
      </c>
      <c r="F319" s="23">
        <f>ROUND(C319*E319,2)</f>
        <v>6281.96</v>
      </c>
    </row>
    <row r="320" spans="2:6" ht="12.75">
      <c r="B320" s="130" t="s">
        <v>153</v>
      </c>
      <c r="C320" s="131">
        <v>1.49</v>
      </c>
      <c r="D320" s="132" t="s">
        <v>33</v>
      </c>
      <c r="E320" s="133">
        <f>F172</f>
        <v>2745.66</v>
      </c>
      <c r="F320" s="353">
        <f>ROUND(C320*E320,2)</f>
        <v>4091.03</v>
      </c>
    </row>
    <row r="321" spans="2:6" ht="13.5" thickBot="1">
      <c r="B321" s="138"/>
      <c r="C321" s="139"/>
      <c r="D321" s="139"/>
      <c r="E321" s="152" t="s">
        <v>176</v>
      </c>
      <c r="F321" s="141">
        <f>SUM(F319:F320)</f>
        <v>10372.99</v>
      </c>
    </row>
    <row r="322" spans="2:6" ht="13.5" thickTop="1">
      <c r="B322" s="211"/>
      <c r="C322" s="211"/>
      <c r="D322" s="211"/>
      <c r="E322" s="212"/>
      <c r="F322" s="213"/>
    </row>
    <row r="323" spans="2:6" ht="13.5" thickBot="1">
      <c r="B323" s="154" t="s">
        <v>223</v>
      </c>
      <c r="C323" s="214">
        <v>0.1</v>
      </c>
      <c r="D323" s="124"/>
      <c r="E323" s="124"/>
      <c r="F323" s="125"/>
    </row>
    <row r="324" spans="2:6" ht="13.5" thickTop="1">
      <c r="B324" s="126" t="s">
        <v>227</v>
      </c>
      <c r="C324" s="127">
        <v>1.05</v>
      </c>
      <c r="D324" s="128" t="s">
        <v>7</v>
      </c>
      <c r="E324" s="129">
        <f>F41</f>
        <v>5982.82</v>
      </c>
      <c r="F324" s="23">
        <f>ROUND(C324*E324,2)</f>
        <v>6281.96</v>
      </c>
    </row>
    <row r="325" spans="2:6" ht="12.75">
      <c r="B325" s="130" t="s">
        <v>153</v>
      </c>
      <c r="C325" s="131">
        <v>1.09</v>
      </c>
      <c r="D325" s="132" t="s">
        <v>33</v>
      </c>
      <c r="E325" s="133">
        <f>F172</f>
        <v>2745.66</v>
      </c>
      <c r="F325" s="353">
        <f>ROUND(C325*E325,2)</f>
        <v>2992.77</v>
      </c>
    </row>
    <row r="326" spans="2:6" ht="12.75">
      <c r="B326" s="134" t="s">
        <v>178</v>
      </c>
      <c r="C326" s="135">
        <f>ROUND(1/C323,2)</f>
        <v>10</v>
      </c>
      <c r="D326" s="136" t="s">
        <v>20</v>
      </c>
      <c r="E326" s="137">
        <v>185</v>
      </c>
      <c r="F326" s="353">
        <f>ROUND(C326*E326,2)</f>
        <v>1850</v>
      </c>
    </row>
    <row r="327" spans="2:6" ht="13.5" thickBot="1">
      <c r="B327" s="138"/>
      <c r="C327" s="139"/>
      <c r="D327" s="139"/>
      <c r="E327" s="152" t="s">
        <v>176</v>
      </c>
      <c r="F327" s="141">
        <f>SUM(F324:F326)</f>
        <v>11124.73</v>
      </c>
    </row>
    <row r="328" spans="2:6" ht="13.5" thickTop="1">
      <c r="B328" s="211"/>
      <c r="C328" s="211"/>
      <c r="D328" s="211"/>
      <c r="E328" s="212"/>
      <c r="F328" s="213"/>
    </row>
    <row r="329" spans="2:6" ht="13.5" thickBot="1">
      <c r="B329" s="154" t="s">
        <v>224</v>
      </c>
      <c r="C329" s="124"/>
      <c r="D329" s="124"/>
      <c r="E329" s="124"/>
      <c r="F329" s="125"/>
    </row>
    <row r="330" spans="2:6" ht="13.5" thickTop="1">
      <c r="B330" s="126" t="s">
        <v>183</v>
      </c>
      <c r="C330" s="127">
        <v>1.05</v>
      </c>
      <c r="D330" s="128" t="s">
        <v>7</v>
      </c>
      <c r="E330" s="129">
        <f>F60</f>
        <v>4455.62</v>
      </c>
      <c r="F330" s="23">
        <f>ROUND(C330*E330,2)</f>
        <v>4678.4</v>
      </c>
    </row>
    <row r="331" spans="2:6" ht="12.75">
      <c r="B331" s="130" t="s">
        <v>153</v>
      </c>
      <c r="C331" s="131">
        <v>1.4</v>
      </c>
      <c r="D331" s="132" t="s">
        <v>33</v>
      </c>
      <c r="E331" s="133">
        <f>F172</f>
        <v>2745.66</v>
      </c>
      <c r="F331" s="353">
        <f>ROUND(C331*E331,2)</f>
        <v>3843.92</v>
      </c>
    </row>
    <row r="332" spans="2:6" ht="12.75">
      <c r="B332" s="134" t="s">
        <v>178</v>
      </c>
      <c r="C332" s="215">
        <v>10</v>
      </c>
      <c r="D332" s="136" t="s">
        <v>20</v>
      </c>
      <c r="E332" s="137">
        <v>185</v>
      </c>
      <c r="F332" s="353">
        <f>ROUND(C332*E332,2)</f>
        <v>1850</v>
      </c>
    </row>
    <row r="333" spans="2:6" ht="13.5" thickBot="1">
      <c r="B333" s="138"/>
      <c r="C333" s="139"/>
      <c r="D333" s="139"/>
      <c r="E333" s="152" t="s">
        <v>176</v>
      </c>
      <c r="F333" s="141">
        <f>SUM(F330:F332)</f>
        <v>10372.32</v>
      </c>
    </row>
    <row r="334" ht="13.5" thickTop="1">
      <c r="D334" s="2"/>
    </row>
    <row r="335" spans="2:6" ht="15.75">
      <c r="B335" s="1399" t="s">
        <v>182</v>
      </c>
      <c r="C335" s="1399"/>
      <c r="D335" s="1399"/>
      <c r="E335" s="1399"/>
      <c r="F335" s="1399"/>
    </row>
    <row r="336" ht="12.75">
      <c r="D336" s="2"/>
    </row>
    <row r="337" spans="2:6" ht="13.5" thickBot="1">
      <c r="B337" s="154" t="s">
        <v>225</v>
      </c>
      <c r="C337" s="124"/>
      <c r="D337" s="124"/>
      <c r="E337" s="124"/>
      <c r="F337" s="125"/>
    </row>
    <row r="338" spans="2:6" ht="13.5" thickTop="1">
      <c r="B338" s="126" t="s">
        <v>177</v>
      </c>
      <c r="C338" s="127">
        <v>1.05</v>
      </c>
      <c r="D338" s="128" t="s">
        <v>7</v>
      </c>
      <c r="E338" s="129">
        <f>F50</f>
        <v>4962.82</v>
      </c>
      <c r="F338" s="23">
        <f>ROUND(C338*E338,2)</f>
        <v>5210.96</v>
      </c>
    </row>
    <row r="339" spans="2:9" ht="12.75">
      <c r="B339" s="130" t="s">
        <v>153</v>
      </c>
      <c r="C339" s="131">
        <v>0.1</v>
      </c>
      <c r="D339" s="132" t="s">
        <v>33</v>
      </c>
      <c r="E339" s="133">
        <f>F166</f>
        <v>2600.55</v>
      </c>
      <c r="F339" s="353">
        <f>ROUND(C339*E339,2)</f>
        <v>260.06</v>
      </c>
      <c r="I339" s="3">
        <f>33.33*61.2</f>
        <v>2039.8</v>
      </c>
    </row>
    <row r="340" spans="2:6" ht="12.75">
      <c r="B340" s="134" t="s">
        <v>178</v>
      </c>
      <c r="C340" s="135">
        <v>33.33</v>
      </c>
      <c r="D340" s="136" t="s">
        <v>20</v>
      </c>
      <c r="E340" s="137">
        <v>250</v>
      </c>
      <c r="F340" s="353">
        <f>ROUND(C340*E340,2)</f>
        <v>8332.5</v>
      </c>
    </row>
    <row r="341" spans="2:6" ht="13.5" thickBot="1">
      <c r="B341" s="138"/>
      <c r="C341" s="139"/>
      <c r="D341" s="139"/>
      <c r="E341" s="152" t="s">
        <v>176</v>
      </c>
      <c r="F341" s="141">
        <f>SUM(F338:F340)</f>
        <v>13803.52</v>
      </c>
    </row>
    <row r="342" ht="13.5" thickTop="1">
      <c r="D342" s="2"/>
    </row>
    <row r="343" spans="2:6" ht="13.5" thickBot="1">
      <c r="B343" s="154" t="s">
        <v>226</v>
      </c>
      <c r="C343" s="124"/>
      <c r="D343" s="124"/>
      <c r="E343" s="124"/>
      <c r="F343" s="125"/>
    </row>
    <row r="344" spans="2:9" ht="13.5" thickTop="1">
      <c r="B344" s="126" t="s">
        <v>183</v>
      </c>
      <c r="C344" s="127">
        <v>1.05</v>
      </c>
      <c r="D344" s="128" t="s">
        <v>7</v>
      </c>
      <c r="E344" s="129">
        <f>F60</f>
        <v>4455.62</v>
      </c>
      <c r="F344" s="23">
        <f>ROUND(C344*E344,2)</f>
        <v>4678.4</v>
      </c>
      <c r="I344" s="3">
        <f>10*61.2</f>
        <v>612</v>
      </c>
    </row>
    <row r="345" spans="2:6" ht="12.75">
      <c r="B345" s="130" t="s">
        <v>153</v>
      </c>
      <c r="C345" s="131">
        <v>1.17</v>
      </c>
      <c r="D345" s="132" t="s">
        <v>33</v>
      </c>
      <c r="E345" s="133">
        <f>F166</f>
        <v>2600.55</v>
      </c>
      <c r="F345" s="353">
        <f>ROUND(C345*E345,2)</f>
        <v>3042.64</v>
      </c>
    </row>
    <row r="346" spans="2:6" ht="12.75">
      <c r="B346" s="134" t="s">
        <v>178</v>
      </c>
      <c r="C346" s="135">
        <v>10</v>
      </c>
      <c r="D346" s="136" t="s">
        <v>20</v>
      </c>
      <c r="E346" s="137">
        <v>185</v>
      </c>
      <c r="F346" s="353">
        <f>ROUND(C346*E346,2)</f>
        <v>1850</v>
      </c>
    </row>
    <row r="347" spans="2:6" ht="13.5" thickBot="1">
      <c r="B347" s="138"/>
      <c r="C347" s="139"/>
      <c r="D347" s="139"/>
      <c r="E347" s="152" t="s">
        <v>176</v>
      </c>
      <c r="F347" s="141">
        <f>SUM(F344:F346)</f>
        <v>9571.04</v>
      </c>
    </row>
    <row r="348" ht="13.5" thickTop="1">
      <c r="D348" s="2"/>
    </row>
    <row r="349" spans="2:6" ht="13.5" thickBot="1">
      <c r="B349" s="50" t="s">
        <v>184</v>
      </c>
      <c r="C349" s="170">
        <f>2.1*0.9</f>
        <v>1.89</v>
      </c>
      <c r="D349" s="171" t="s">
        <v>8</v>
      </c>
      <c r="E349" s="172">
        <v>20.32</v>
      </c>
      <c r="F349" s="16" t="s">
        <v>64</v>
      </c>
    </row>
    <row r="350" spans="2:6" ht="13.5" thickTop="1">
      <c r="B350" s="21" t="s">
        <v>185</v>
      </c>
      <c r="C350" s="22">
        <v>4</v>
      </c>
      <c r="D350" s="173" t="s">
        <v>124</v>
      </c>
      <c r="E350" s="22">
        <v>385</v>
      </c>
      <c r="F350" s="23">
        <f>ROUND(C350*E350,2)</f>
        <v>1540</v>
      </c>
    </row>
    <row r="351" spans="2:6" ht="12.75">
      <c r="B351" s="27" t="s">
        <v>186</v>
      </c>
      <c r="C351" s="28">
        <v>0.5</v>
      </c>
      <c r="D351" s="174" t="s">
        <v>187</v>
      </c>
      <c r="E351" s="28">
        <f>F375</f>
        <v>2850</v>
      </c>
      <c r="F351" s="353">
        <f>ROUND(C351*E351,2)</f>
        <v>1425</v>
      </c>
    </row>
    <row r="352" spans="2:6" ht="12.75">
      <c r="B352" s="27" t="s">
        <v>188</v>
      </c>
      <c r="C352" s="28">
        <v>0.5</v>
      </c>
      <c r="D352" s="174" t="s">
        <v>187</v>
      </c>
      <c r="E352" s="28">
        <f>F368</f>
        <v>8493.12</v>
      </c>
      <c r="F352" s="353">
        <f>ROUND(C352*E352,2)</f>
        <v>4246.56</v>
      </c>
    </row>
    <row r="353" spans="2:6" ht="12.75">
      <c r="B353" s="27" t="s">
        <v>189</v>
      </c>
      <c r="C353" s="28">
        <v>1.19</v>
      </c>
      <c r="D353" s="174" t="s">
        <v>8</v>
      </c>
      <c r="E353" s="28">
        <v>94.7</v>
      </c>
      <c r="F353" s="353">
        <f>ROUND(C353*E353,2)</f>
        <v>112.69</v>
      </c>
    </row>
    <row r="354" spans="2:9" ht="12.75">
      <c r="B354" s="27" t="s">
        <v>190</v>
      </c>
      <c r="C354" s="28">
        <v>1.19</v>
      </c>
      <c r="D354" s="174" t="s">
        <v>8</v>
      </c>
      <c r="E354" s="28">
        <v>107.35</v>
      </c>
      <c r="F354" s="353">
        <f>ROUND(C354*E354,2)</f>
        <v>127.75</v>
      </c>
      <c r="I354" s="175">
        <f>2.1*3.28</f>
        <v>6.89</v>
      </c>
    </row>
    <row r="355" spans="2:9" ht="13.5" thickBot="1">
      <c r="B355" s="35"/>
      <c r="C355" s="42"/>
      <c r="D355" s="107"/>
      <c r="E355" s="152" t="s">
        <v>191</v>
      </c>
      <c r="F355" s="31">
        <f>SUM(F350:F354)</f>
        <v>7452</v>
      </c>
      <c r="I355" s="175">
        <f>0.9*3.28</f>
        <v>2.95</v>
      </c>
    </row>
    <row r="356" spans="2:9" ht="14.25" thickBot="1" thickTop="1">
      <c r="B356" s="176"/>
      <c r="C356" s="177"/>
      <c r="D356" s="178"/>
      <c r="E356" s="179" t="s">
        <v>192</v>
      </c>
      <c r="F356" s="180">
        <f>ROUND(F355/C349,2)</f>
        <v>3942.86</v>
      </c>
      <c r="I356" s="175">
        <f>I354*I355</f>
        <v>20.33</v>
      </c>
    </row>
    <row r="357" spans="2:9" ht="14.25" thickBot="1" thickTop="1">
      <c r="B357" s="176"/>
      <c r="C357" s="177"/>
      <c r="D357" s="178"/>
      <c r="E357" s="181" t="s">
        <v>193</v>
      </c>
      <c r="F357" s="182">
        <f>ROUND(F355/E349,2)</f>
        <v>366.73</v>
      </c>
      <c r="I357" s="175"/>
    </row>
    <row r="358" spans="2:9" ht="13.5" thickTop="1">
      <c r="B358" s="4"/>
      <c r="C358" s="16"/>
      <c r="D358" s="4"/>
      <c r="E358" s="16"/>
      <c r="F358" s="16"/>
      <c r="I358" s="175">
        <f>7075.44/20.33</f>
        <v>348.03</v>
      </c>
    </row>
    <row r="359" spans="2:9" ht="15.75">
      <c r="B359" s="1399" t="s">
        <v>194</v>
      </c>
      <c r="C359" s="1399"/>
      <c r="D359" s="1399"/>
      <c r="E359" s="1399"/>
      <c r="F359" s="1399"/>
      <c r="I359" s="175"/>
    </row>
    <row r="360" spans="2:9" ht="12.75">
      <c r="B360" s="4"/>
      <c r="C360" s="16"/>
      <c r="D360" s="4"/>
      <c r="E360" s="16"/>
      <c r="F360" s="16"/>
      <c r="I360" s="175"/>
    </row>
    <row r="361" spans="2:9" ht="13.5" thickBot="1">
      <c r="B361" s="50" t="s">
        <v>195</v>
      </c>
      <c r="C361" s="170"/>
      <c r="D361" s="171"/>
      <c r="E361" s="172"/>
      <c r="F361" s="16"/>
      <c r="I361" s="175"/>
    </row>
    <row r="362" spans="2:9" ht="13.5" thickTop="1">
      <c r="B362" s="21" t="s">
        <v>400</v>
      </c>
      <c r="C362" s="22">
        <v>1</v>
      </c>
      <c r="D362" s="173" t="s">
        <v>124</v>
      </c>
      <c r="E362" s="22">
        <v>2700</v>
      </c>
      <c r="F362" s="23">
        <f>ROUND(C362*E362,2)</f>
        <v>2700</v>
      </c>
      <c r="I362" s="175"/>
    </row>
    <row r="363" spans="2:9" ht="12.75">
      <c r="B363" s="27" t="s">
        <v>401</v>
      </c>
      <c r="C363" s="28">
        <v>1</v>
      </c>
      <c r="D363" s="174" t="s">
        <v>187</v>
      </c>
      <c r="E363" s="28">
        <v>1800</v>
      </c>
      <c r="F363" s="353">
        <f>ROUND(C363*E363,2)</f>
        <v>1800</v>
      </c>
      <c r="I363" s="175"/>
    </row>
    <row r="364" spans="2:9" ht="12.75">
      <c r="B364" s="27" t="s">
        <v>402</v>
      </c>
      <c r="C364" s="28">
        <v>1</v>
      </c>
      <c r="D364" s="174" t="s">
        <v>187</v>
      </c>
      <c r="E364" s="28">
        <v>1800</v>
      </c>
      <c r="F364" s="353">
        <f>ROUND(C364*E364,2)</f>
        <v>1800</v>
      </c>
      <c r="I364" s="175"/>
    </row>
    <row r="365" spans="2:9" ht="12.75">
      <c r="B365" s="27" t="s">
        <v>197</v>
      </c>
      <c r="C365" s="28">
        <v>3</v>
      </c>
      <c r="D365" s="174" t="s">
        <v>25</v>
      </c>
      <c r="E365" s="28">
        <v>216</v>
      </c>
      <c r="F365" s="353">
        <f>ROUND(C365*E365,2)</f>
        <v>648</v>
      </c>
      <c r="I365" s="175"/>
    </row>
    <row r="366" spans="2:9" ht="12.75">
      <c r="B366" s="27" t="s">
        <v>198</v>
      </c>
      <c r="C366" s="28">
        <v>20</v>
      </c>
      <c r="D366" s="174" t="s">
        <v>181</v>
      </c>
      <c r="E366" s="28">
        <f>F365</f>
        <v>648</v>
      </c>
      <c r="F366" s="353">
        <f>ROUND(C366*E366,2)/100</f>
        <v>129.6</v>
      </c>
      <c r="I366" s="175"/>
    </row>
    <row r="367" spans="2:9" ht="13.5" thickBot="1">
      <c r="B367" s="35" t="s">
        <v>199</v>
      </c>
      <c r="C367" s="42">
        <v>20</v>
      </c>
      <c r="D367" s="183" t="s">
        <v>181</v>
      </c>
      <c r="E367" s="184">
        <f>SUM(F362:F366)</f>
        <v>7077.6</v>
      </c>
      <c r="F367" s="353">
        <f>ROUND(C367*E367,2)/100</f>
        <v>1415.52</v>
      </c>
      <c r="I367" s="175"/>
    </row>
    <row r="368" spans="2:9" ht="13.5" thickTop="1">
      <c r="B368" s="21"/>
      <c r="C368" s="22"/>
      <c r="D368" s="185"/>
      <c r="E368" s="186" t="s">
        <v>200</v>
      </c>
      <c r="F368" s="90">
        <f>SUM(F362:F367)</f>
        <v>8493.12</v>
      </c>
      <c r="I368" s="175"/>
    </row>
    <row r="369" spans="2:9" ht="13.5" thickBot="1">
      <c r="B369" s="35"/>
      <c r="C369" s="42"/>
      <c r="D369" s="107"/>
      <c r="E369" s="187" t="s">
        <v>201</v>
      </c>
      <c r="F369" s="69">
        <f>F368/8</f>
        <v>1061.64</v>
      </c>
      <c r="I369" s="175"/>
    </row>
    <row r="370" spans="2:9" ht="13.5" thickTop="1">
      <c r="B370" s="4"/>
      <c r="C370" s="16"/>
      <c r="D370" s="4"/>
      <c r="E370" s="16"/>
      <c r="F370" s="16"/>
      <c r="I370" s="175"/>
    </row>
    <row r="371" spans="2:9" ht="13.5" thickBot="1">
      <c r="B371" s="50" t="s">
        <v>202</v>
      </c>
      <c r="C371" s="16"/>
      <c r="D371" s="4"/>
      <c r="E371" s="16"/>
      <c r="F371" s="16"/>
      <c r="I371" s="175"/>
    </row>
    <row r="372" spans="2:9" ht="13.5" thickTop="1">
      <c r="B372" s="27" t="s">
        <v>203</v>
      </c>
      <c r="C372" s="28">
        <v>1</v>
      </c>
      <c r="D372" s="174" t="s">
        <v>57</v>
      </c>
      <c r="E372" s="28">
        <v>1100</v>
      </c>
      <c r="F372" s="23">
        <f>ROUND(C372*E372,2)</f>
        <v>1100</v>
      </c>
      <c r="I372" s="175"/>
    </row>
    <row r="373" spans="2:9" ht="12.75">
      <c r="B373" s="27" t="s">
        <v>204</v>
      </c>
      <c r="C373" s="28">
        <v>1</v>
      </c>
      <c r="D373" s="174" t="s">
        <v>205</v>
      </c>
      <c r="E373" s="28">
        <v>700</v>
      </c>
      <c r="F373" s="353">
        <f>ROUND(C373*E373,2)</f>
        <v>700</v>
      </c>
      <c r="I373" s="175"/>
    </row>
    <row r="374" spans="2:9" ht="13.5" thickBot="1">
      <c r="B374" s="27" t="s">
        <v>228</v>
      </c>
      <c r="C374" s="28">
        <v>1</v>
      </c>
      <c r="D374" s="174" t="s">
        <v>205</v>
      </c>
      <c r="E374" s="28">
        <v>1050</v>
      </c>
      <c r="F374" s="353">
        <f>ROUND(C374*E374,2)</f>
        <v>1050</v>
      </c>
      <c r="I374" s="153">
        <v>11.25</v>
      </c>
    </row>
    <row r="375" spans="2:9" ht="13.5" thickTop="1">
      <c r="B375" s="21"/>
      <c r="C375" s="22"/>
      <c r="D375" s="185"/>
      <c r="E375" s="186" t="s">
        <v>200</v>
      </c>
      <c r="F375" s="90">
        <f>SUM(F372:F374)</f>
        <v>2850</v>
      </c>
      <c r="I375" s="153">
        <v>92.53</v>
      </c>
    </row>
    <row r="376" spans="2:9" ht="13.5" thickBot="1">
      <c r="B376" s="35"/>
      <c r="C376" s="42"/>
      <c r="D376" s="107"/>
      <c r="E376" s="187" t="s">
        <v>201</v>
      </c>
      <c r="F376" s="69">
        <f>ROUND(F375/8,2)</f>
        <v>356.25</v>
      </c>
      <c r="I376" s="16">
        <f>I374*I375</f>
        <v>1040.96</v>
      </c>
    </row>
    <row r="377" spans="2:9" ht="13.5" thickTop="1">
      <c r="B377" s="4"/>
      <c r="C377" s="16"/>
      <c r="D377" s="4"/>
      <c r="E377" s="16"/>
      <c r="F377" s="16"/>
      <c r="I377" s="175"/>
    </row>
    <row r="378" spans="2:6" ht="15.75">
      <c r="B378" s="1399" t="s">
        <v>206</v>
      </c>
      <c r="C378" s="1399"/>
      <c r="D378" s="1399"/>
      <c r="E378" s="1399"/>
      <c r="F378" s="1399"/>
    </row>
    <row r="379" ht="12.75">
      <c r="D379" s="2"/>
    </row>
    <row r="380" spans="2:6" ht="13.5" thickBot="1">
      <c r="B380" s="1400" t="s">
        <v>301</v>
      </c>
      <c r="C380" s="1400"/>
      <c r="D380" s="1400"/>
      <c r="E380" s="1400"/>
      <c r="F380" s="1400"/>
    </row>
    <row r="381" spans="2:6" ht="13.5" thickTop="1">
      <c r="B381" s="188" t="s">
        <v>207</v>
      </c>
      <c r="C381" s="189"/>
      <c r="D381" s="190"/>
      <c r="E381" s="189"/>
      <c r="F381" s="191"/>
    </row>
    <row r="382" spans="2:10" ht="12.75">
      <c r="B382" s="192" t="s">
        <v>406</v>
      </c>
      <c r="C382" s="193">
        <v>1</v>
      </c>
      <c r="D382" s="194" t="s">
        <v>208</v>
      </c>
      <c r="E382" s="195">
        <v>187.5</v>
      </c>
      <c r="F382" s="353">
        <f>ROUND(C382*E382,2)</f>
        <v>187.5</v>
      </c>
      <c r="I382" s="3">
        <v>10</v>
      </c>
      <c r="J382" s="153">
        <v>1500</v>
      </c>
    </row>
    <row r="383" spans="2:10" ht="12.75">
      <c r="B383" s="192" t="s">
        <v>403</v>
      </c>
      <c r="C383" s="193">
        <v>1</v>
      </c>
      <c r="D383" s="194" t="s">
        <v>208</v>
      </c>
      <c r="E383" s="195">
        <v>812.5</v>
      </c>
      <c r="F383" s="353">
        <f>ROUND(C383*E383,2)</f>
        <v>812.5</v>
      </c>
      <c r="I383" s="3">
        <v>650</v>
      </c>
      <c r="J383" s="153">
        <f>J382/8</f>
        <v>187.5</v>
      </c>
    </row>
    <row r="384" spans="2:9" ht="12.75">
      <c r="B384" s="192" t="s">
        <v>209</v>
      </c>
      <c r="C384" s="193">
        <v>3</v>
      </c>
      <c r="D384" s="194" t="s">
        <v>181</v>
      </c>
      <c r="E384" s="195">
        <f>SUM(F382:F383)</f>
        <v>1000</v>
      </c>
      <c r="F384" s="353">
        <f>ROUND(C384*E384,2)/100</f>
        <v>30</v>
      </c>
      <c r="I384" s="175">
        <f>I383*I382</f>
        <v>6500</v>
      </c>
    </row>
    <row r="385" spans="2:10" ht="12.75">
      <c r="B385" s="192" t="s">
        <v>210</v>
      </c>
      <c r="C385" s="196">
        <v>4.575</v>
      </c>
      <c r="D385" s="194" t="s">
        <v>211</v>
      </c>
      <c r="E385" s="195"/>
      <c r="F385" s="197">
        <f>SUM(F382:F384)</f>
        <v>1030</v>
      </c>
      <c r="I385" s="3">
        <f>I384/8</f>
        <v>812.5</v>
      </c>
      <c r="J385" s="175"/>
    </row>
    <row r="386" spans="2:6" ht="13.5" thickBot="1">
      <c r="B386" s="198"/>
      <c r="C386" s="199"/>
      <c r="D386" s="200"/>
      <c r="E386" s="152" t="s">
        <v>176</v>
      </c>
      <c r="F386" s="201">
        <f>ROUND(F385/C385,2)</f>
        <v>225.14</v>
      </c>
    </row>
    <row r="387" ht="13.5" thickTop="1">
      <c r="D387" s="2"/>
    </row>
    <row r="388" spans="2:6" ht="13.5" thickBot="1">
      <c r="B388" s="1400" t="s">
        <v>302</v>
      </c>
      <c r="C388" s="1400"/>
      <c r="D388" s="1400"/>
      <c r="E388" s="1400"/>
      <c r="F388" s="1400"/>
    </row>
    <row r="389" spans="2:6" ht="13.5" thickTop="1">
      <c r="B389" s="188" t="s">
        <v>207</v>
      </c>
      <c r="C389" s="189"/>
      <c r="D389" s="190"/>
      <c r="E389" s="189"/>
      <c r="F389" s="191"/>
    </row>
    <row r="390" spans="2:6" ht="12.75">
      <c r="B390" s="192" t="s">
        <v>406</v>
      </c>
      <c r="C390" s="193">
        <v>1</v>
      </c>
      <c r="D390" s="194" t="s">
        <v>208</v>
      </c>
      <c r="E390" s="195">
        <v>187.5</v>
      </c>
      <c r="F390" s="353">
        <f>ROUND(C390*E390,2)</f>
        <v>187.5</v>
      </c>
    </row>
    <row r="391" spans="2:6" ht="12.75">
      <c r="B391" s="192" t="s">
        <v>404</v>
      </c>
      <c r="C391" s="193">
        <v>1</v>
      </c>
      <c r="D391" s="194" t="s">
        <v>208</v>
      </c>
      <c r="E391" s="195">
        <v>812.5</v>
      </c>
      <c r="F391" s="353">
        <f>ROUND(C391*E391,2)</f>
        <v>812.5</v>
      </c>
    </row>
    <row r="392" spans="2:6" ht="12.75">
      <c r="B392" s="192" t="s">
        <v>209</v>
      </c>
      <c r="C392" s="193">
        <v>3</v>
      </c>
      <c r="D392" s="194" t="s">
        <v>181</v>
      </c>
      <c r="E392" s="195">
        <f>SUM(F390:F391)</f>
        <v>1000</v>
      </c>
      <c r="F392" s="353">
        <f>ROUND(C392*E392,2)/100</f>
        <v>30</v>
      </c>
    </row>
    <row r="393" spans="2:6" ht="12.75">
      <c r="B393" s="192" t="s">
        <v>210</v>
      </c>
      <c r="C393" s="196">
        <v>4.575</v>
      </c>
      <c r="D393" s="194" t="s">
        <v>211</v>
      </c>
      <c r="E393" s="195"/>
      <c r="F393" s="197">
        <f>SUM(F390:F392)</f>
        <v>1030</v>
      </c>
    </row>
    <row r="394" spans="2:6" ht="13.5" thickBot="1">
      <c r="B394" s="198"/>
      <c r="C394" s="199"/>
      <c r="D394" s="200"/>
      <c r="E394" s="152" t="s">
        <v>176</v>
      </c>
      <c r="F394" s="201">
        <f>ROUND(F393/C393,2)</f>
        <v>225.14</v>
      </c>
    </row>
    <row r="395" ht="13.5" thickTop="1">
      <c r="D395" s="2"/>
    </row>
    <row r="396" spans="2:6" ht="13.5" thickBot="1">
      <c r="B396" s="1400" t="s">
        <v>303</v>
      </c>
      <c r="C396" s="1400"/>
      <c r="D396" s="1400"/>
      <c r="E396" s="1400"/>
      <c r="F396" s="1400"/>
    </row>
    <row r="397" spans="2:6" ht="13.5" thickTop="1">
      <c r="B397" s="21" t="s">
        <v>263</v>
      </c>
      <c r="C397" s="22">
        <v>1</v>
      </c>
      <c r="D397" s="173" t="s">
        <v>208</v>
      </c>
      <c r="E397" s="22">
        <v>1229.6</v>
      </c>
      <c r="F397" s="23">
        <f>ROUND(C397*E397,2)</f>
        <v>1229.6</v>
      </c>
    </row>
    <row r="398" spans="2:11" ht="12.75">
      <c r="B398" s="27" t="s">
        <v>264</v>
      </c>
      <c r="C398" s="28">
        <v>3.2</v>
      </c>
      <c r="D398" s="174" t="s">
        <v>267</v>
      </c>
      <c r="E398" s="28">
        <v>203.6</v>
      </c>
      <c r="F398" s="353">
        <f>ROUND(C398*E398,2)</f>
        <v>651.52</v>
      </c>
      <c r="J398" s="204">
        <v>128</v>
      </c>
      <c r="K398" s="4">
        <v>38.93</v>
      </c>
    </row>
    <row r="399" spans="2:11" ht="12.75">
      <c r="B399" s="27" t="s">
        <v>265</v>
      </c>
      <c r="C399" s="28">
        <v>20</v>
      </c>
      <c r="D399" s="174" t="s">
        <v>181</v>
      </c>
      <c r="E399" s="28">
        <f>F398</f>
        <v>651.52</v>
      </c>
      <c r="F399" s="353">
        <f>ROUND(C399*E399,2)/100</f>
        <v>130.3</v>
      </c>
      <c r="J399" s="204">
        <v>80</v>
      </c>
      <c r="K399" s="171" t="s">
        <v>317</v>
      </c>
    </row>
    <row r="400" spans="2:11" ht="12.75">
      <c r="B400" s="27" t="s">
        <v>405</v>
      </c>
      <c r="C400" s="28">
        <v>1</v>
      </c>
      <c r="D400" s="174" t="s">
        <v>208</v>
      </c>
      <c r="E400" s="28">
        <v>162.5</v>
      </c>
      <c r="F400" s="353">
        <f>ROUND(C400*E400,2)</f>
        <v>162.5</v>
      </c>
      <c r="K400" s="16">
        <f>(J399*K398)/J398</f>
        <v>24.33</v>
      </c>
    </row>
    <row r="401" spans="2:6" ht="12.75">
      <c r="B401" s="27"/>
      <c r="C401" s="28"/>
      <c r="D401" s="174"/>
      <c r="E401" s="266" t="s">
        <v>270</v>
      </c>
      <c r="F401" s="267">
        <f>SUM(F397:F400)</f>
        <v>2173.92</v>
      </c>
    </row>
    <row r="402" spans="2:6" ht="13.5" thickBot="1">
      <c r="B402" s="35" t="s">
        <v>268</v>
      </c>
      <c r="C402" s="42">
        <v>24.33</v>
      </c>
      <c r="D402" s="183" t="s">
        <v>269</v>
      </c>
      <c r="E402" s="152" t="s">
        <v>176</v>
      </c>
      <c r="F402" s="69">
        <f>ROUND(F401/C402,2)</f>
        <v>89.35</v>
      </c>
    </row>
    <row r="403" ht="13.5" thickTop="1">
      <c r="D403" s="2"/>
    </row>
    <row r="404" spans="2:6" ht="13.5" thickBot="1">
      <c r="B404" s="1394" t="s">
        <v>304</v>
      </c>
      <c r="C404" s="1395"/>
      <c r="D404" s="1395"/>
      <c r="E404" s="1395"/>
      <c r="F404" s="1395"/>
    </row>
    <row r="405" spans="2:6" ht="13.5" thickTop="1">
      <c r="B405" s="354" t="s">
        <v>264</v>
      </c>
      <c r="C405" s="355">
        <v>5.12</v>
      </c>
      <c r="D405" s="356" t="s">
        <v>266</v>
      </c>
      <c r="E405" s="357">
        <v>203.6</v>
      </c>
      <c r="F405" s="23">
        <f>ROUND(C405*E405,2)</f>
        <v>1042.43</v>
      </c>
    </row>
    <row r="406" spans="2:10" ht="12.75">
      <c r="B406" s="358" t="s">
        <v>316</v>
      </c>
      <c r="C406" s="252">
        <v>20</v>
      </c>
      <c r="D406" s="359" t="s">
        <v>181</v>
      </c>
      <c r="E406" s="360">
        <f>F405</f>
        <v>1042.43</v>
      </c>
      <c r="F406" s="353">
        <f>ROUND(C406*E406,2)/100</f>
        <v>208.49</v>
      </c>
      <c r="J406" s="3">
        <v>1300</v>
      </c>
    </row>
    <row r="407" spans="2:10" ht="12.75">
      <c r="B407" s="358" t="s">
        <v>407</v>
      </c>
      <c r="C407" s="252">
        <v>1</v>
      </c>
      <c r="D407" s="359" t="s">
        <v>208</v>
      </c>
      <c r="E407" s="360">
        <v>162.5</v>
      </c>
      <c r="F407" s="353">
        <f>ROUND(C407*E407,2)</f>
        <v>162.5</v>
      </c>
      <c r="J407" s="3">
        <v>8</v>
      </c>
    </row>
    <row r="408" spans="2:10" ht="12.75">
      <c r="B408" s="358" t="s">
        <v>271</v>
      </c>
      <c r="C408" s="252">
        <v>1</v>
      </c>
      <c r="D408" s="359" t="s">
        <v>124</v>
      </c>
      <c r="E408" s="360">
        <v>85</v>
      </c>
      <c r="F408" s="353">
        <f>ROUND(C408*E408,2)</f>
        <v>85</v>
      </c>
      <c r="J408" s="3">
        <f>J406/J407</f>
        <v>162.5</v>
      </c>
    </row>
    <row r="409" spans="2:6" ht="13.5" thickBot="1">
      <c r="B409" s="361" t="s">
        <v>272</v>
      </c>
      <c r="C409" s="362">
        <v>1</v>
      </c>
      <c r="D409" s="363" t="s">
        <v>208</v>
      </c>
      <c r="E409" s="364">
        <v>3539.37</v>
      </c>
      <c r="F409" s="365">
        <f>ROUND(C409*E409,2)</f>
        <v>3539.37</v>
      </c>
    </row>
    <row r="410" spans="2:6" ht="13.5" thickTop="1">
      <c r="B410" s="282"/>
      <c r="C410" s="283"/>
      <c r="D410" s="284"/>
      <c r="E410" s="285" t="s">
        <v>270</v>
      </c>
      <c r="F410" s="281">
        <f>SUM(F405:F409)</f>
        <v>5037.79</v>
      </c>
    </row>
    <row r="411" spans="2:6" ht="13.5" thickBot="1">
      <c r="B411" s="35" t="s">
        <v>268</v>
      </c>
      <c r="C411" s="42">
        <v>38.93</v>
      </c>
      <c r="D411" s="183" t="s">
        <v>269</v>
      </c>
      <c r="E411" s="152" t="s">
        <v>176</v>
      </c>
      <c r="F411" s="69">
        <f>ROUND(F410/C411,2)</f>
        <v>129.41</v>
      </c>
    </row>
    <row r="412" spans="2:6" ht="12.75" customHeight="1" thickTop="1">
      <c r="B412" s="75" t="s">
        <v>319</v>
      </c>
      <c r="C412" s="22">
        <v>64</v>
      </c>
      <c r="D412" s="173" t="s">
        <v>269</v>
      </c>
      <c r="E412" s="22"/>
      <c r="F412" s="77">
        <f>ROUND(F410/C412,2)</f>
        <v>78.72</v>
      </c>
    </row>
    <row r="413" spans="2:6" ht="12.75" customHeight="1" thickBot="1">
      <c r="B413" s="66" t="s">
        <v>320</v>
      </c>
      <c r="C413" s="42">
        <v>25.13</v>
      </c>
      <c r="D413" s="341" t="s">
        <v>269</v>
      </c>
      <c r="E413" s="42"/>
      <c r="F413" s="69">
        <f>ROUND(F410/C413,2)</f>
        <v>200.47</v>
      </c>
    </row>
    <row r="414" ht="12.75" customHeight="1" thickTop="1">
      <c r="D414" s="2"/>
    </row>
    <row r="415" spans="2:6" ht="13.5" thickBot="1">
      <c r="B415" s="1394" t="s">
        <v>318</v>
      </c>
      <c r="C415" s="1395"/>
      <c r="D415" s="1395"/>
      <c r="E415" s="1395"/>
      <c r="F415" s="1395"/>
    </row>
    <row r="416" spans="2:6" ht="13.5" thickTop="1">
      <c r="B416" s="268" t="s">
        <v>264</v>
      </c>
      <c r="C416" s="269">
        <v>12</v>
      </c>
      <c r="D416" s="270" t="s">
        <v>266</v>
      </c>
      <c r="E416" s="271">
        <v>203.6</v>
      </c>
      <c r="F416" s="23">
        <f>ROUND(C416*E416,2)</f>
        <v>2443.2</v>
      </c>
    </row>
    <row r="417" spans="2:6" ht="12.75">
      <c r="B417" s="272" t="s">
        <v>316</v>
      </c>
      <c r="C417" s="273">
        <v>20</v>
      </c>
      <c r="D417" s="274" t="s">
        <v>181</v>
      </c>
      <c r="E417" s="275">
        <f>F416</f>
        <v>2443.2</v>
      </c>
      <c r="F417" s="353">
        <f>ROUND(C417*E417,2)/100</f>
        <v>488.64</v>
      </c>
    </row>
    <row r="418" spans="2:6" ht="12.75">
      <c r="B418" s="276" t="s">
        <v>407</v>
      </c>
      <c r="C418" s="273">
        <v>1</v>
      </c>
      <c r="D418" s="274" t="s">
        <v>208</v>
      </c>
      <c r="E418" s="275">
        <v>162.5</v>
      </c>
      <c r="F418" s="353">
        <f>ROUND(C418*E418,2)</f>
        <v>162.5</v>
      </c>
    </row>
    <row r="419" spans="2:6" ht="13.5" thickBot="1">
      <c r="B419" s="277" t="s">
        <v>272</v>
      </c>
      <c r="C419" s="278">
        <v>1</v>
      </c>
      <c r="D419" s="279" t="s">
        <v>208</v>
      </c>
      <c r="E419" s="280">
        <v>3888.82</v>
      </c>
      <c r="F419" s="353">
        <f>ROUND(C419*E419,2)</f>
        <v>3888.82</v>
      </c>
    </row>
    <row r="420" spans="2:6" ht="13.5" thickTop="1">
      <c r="B420" s="282"/>
      <c r="C420" s="283"/>
      <c r="D420" s="284"/>
      <c r="E420" s="285" t="s">
        <v>270</v>
      </c>
      <c r="F420" s="281">
        <f>SUM(F416:F419)</f>
        <v>6983.16</v>
      </c>
    </row>
    <row r="421" spans="2:6" ht="13.5" thickBot="1">
      <c r="B421" s="35" t="s">
        <v>268</v>
      </c>
      <c r="C421" s="42">
        <v>129.2</v>
      </c>
      <c r="D421" s="183" t="s">
        <v>269</v>
      </c>
      <c r="E421" s="152" t="s">
        <v>176</v>
      </c>
      <c r="F421" s="69">
        <f>ROUND(F420/C421,2)</f>
        <v>54.05</v>
      </c>
    </row>
    <row r="422" ht="10.5" customHeight="1" thickTop="1">
      <c r="D422" s="2"/>
    </row>
    <row r="423" spans="2:9" ht="13.5" thickBot="1">
      <c r="B423" s="50" t="s">
        <v>212</v>
      </c>
      <c r="C423" s="202" t="s">
        <v>213</v>
      </c>
      <c r="D423" s="4">
        <v>6</v>
      </c>
      <c r="E423" s="16" t="s">
        <v>214</v>
      </c>
      <c r="F423" s="203">
        <v>2</v>
      </c>
      <c r="I423" s="204"/>
    </row>
    <row r="424" spans="2:9" ht="13.5" thickTop="1">
      <c r="B424" s="21" t="s">
        <v>215</v>
      </c>
      <c r="C424" s="22">
        <v>1</v>
      </c>
      <c r="D424" s="173" t="s">
        <v>7</v>
      </c>
      <c r="E424" s="22">
        <v>900</v>
      </c>
      <c r="F424" s="23">
        <f>ROUND(C424*E424,2)</f>
        <v>900</v>
      </c>
      <c r="I424" s="205"/>
    </row>
    <row r="425" spans="1:9" ht="12.75">
      <c r="A425" s="2" t="s">
        <v>59</v>
      </c>
      <c r="B425" s="27" t="s">
        <v>408</v>
      </c>
      <c r="C425" s="28">
        <v>1</v>
      </c>
      <c r="D425" s="174" t="s">
        <v>7</v>
      </c>
      <c r="E425" s="28">
        <v>108.33</v>
      </c>
      <c r="F425" s="353">
        <f>ROUND(C425*E425,2)</f>
        <v>108.33</v>
      </c>
      <c r="I425" s="175">
        <f>(650*2)/12</f>
        <v>108.33</v>
      </c>
    </row>
    <row r="426" spans="2:6" ht="12.75">
      <c r="B426" s="192" t="s">
        <v>209</v>
      </c>
      <c r="C426" s="28">
        <v>3</v>
      </c>
      <c r="D426" s="174" t="s">
        <v>181</v>
      </c>
      <c r="E426" s="28">
        <f>F425</f>
        <v>108.33</v>
      </c>
      <c r="F426" s="353">
        <f>ROUND(C426*E426,2)/100</f>
        <v>3.25</v>
      </c>
    </row>
    <row r="427" spans="2:6" ht="13.5" thickBot="1">
      <c r="B427" s="35"/>
      <c r="C427" s="42"/>
      <c r="D427" s="183"/>
      <c r="E427" s="152" t="s">
        <v>176</v>
      </c>
      <c r="F427" s="31">
        <f>SUM(F424:F426)</f>
        <v>1011.58</v>
      </c>
    </row>
    <row r="428" ht="13.5" thickTop="1">
      <c r="D428" s="2"/>
    </row>
    <row r="429" spans="2:4" ht="13.5" thickBot="1">
      <c r="B429" s="50" t="s">
        <v>216</v>
      </c>
      <c r="C429" s="206">
        <v>144</v>
      </c>
      <c r="D429" s="207" t="s">
        <v>8</v>
      </c>
    </row>
    <row r="430" spans="2:7" ht="13.5" thickTop="1">
      <c r="B430" s="21" t="s">
        <v>409</v>
      </c>
      <c r="C430" s="22">
        <v>1</v>
      </c>
      <c r="D430" s="173" t="s">
        <v>187</v>
      </c>
      <c r="E430" s="22">
        <v>1500</v>
      </c>
      <c r="F430" s="352">
        <f>ROUND(C430*E430,2)</f>
        <v>1500</v>
      </c>
      <c r="G430" s="4"/>
    </row>
    <row r="431" spans="2:9" ht="12.75">
      <c r="B431" s="27" t="s">
        <v>410</v>
      </c>
      <c r="C431" s="28">
        <v>1</v>
      </c>
      <c r="D431" s="174" t="s">
        <v>187</v>
      </c>
      <c r="E431" s="28">
        <v>3250</v>
      </c>
      <c r="F431" s="353">
        <f>ROUND(C431*E431,2)</f>
        <v>3250</v>
      </c>
      <c r="G431" s="4"/>
      <c r="I431" s="3">
        <v>5</v>
      </c>
    </row>
    <row r="432" spans="2:9" ht="12.75">
      <c r="B432" s="27" t="s">
        <v>217</v>
      </c>
      <c r="C432" s="28">
        <v>3</v>
      </c>
      <c r="D432" s="174" t="s">
        <v>181</v>
      </c>
      <c r="E432" s="28">
        <f>SUM(F430:F431)</f>
        <v>4750</v>
      </c>
      <c r="F432" s="353">
        <f>ROUND(C432*E432,2)/100</f>
        <v>142.5</v>
      </c>
      <c r="G432" s="4"/>
      <c r="I432" s="3">
        <v>650</v>
      </c>
    </row>
    <row r="433" spans="2:9" ht="13.5" thickBot="1">
      <c r="B433" s="35"/>
      <c r="C433" s="42"/>
      <c r="D433" s="107"/>
      <c r="E433" s="152" t="s">
        <v>218</v>
      </c>
      <c r="F433" s="31">
        <f>SUM(F430:F432)</f>
        <v>4892.5</v>
      </c>
      <c r="G433" s="4"/>
      <c r="I433" s="3">
        <f>I432*I431</f>
        <v>3250</v>
      </c>
    </row>
    <row r="434" spans="2:7" ht="13.5" thickTop="1">
      <c r="B434" s="21"/>
      <c r="C434" s="22"/>
      <c r="D434" s="185"/>
      <c r="E434" s="208" t="s">
        <v>219</v>
      </c>
      <c r="F434" s="64">
        <f>ROUND(F433/C430,2)</f>
        <v>4892.5</v>
      </c>
      <c r="G434" s="4"/>
    </row>
    <row r="435" spans="2:7" ht="13.5" thickBot="1">
      <c r="B435" s="35"/>
      <c r="C435" s="42"/>
      <c r="D435" s="107"/>
      <c r="E435" s="152" t="s">
        <v>220</v>
      </c>
      <c r="F435" s="31">
        <f>ROUND(F433/C429,2)</f>
        <v>33.98</v>
      </c>
      <c r="G435" s="4"/>
    </row>
    <row r="436" spans="2:7" ht="9" customHeight="1" thickTop="1">
      <c r="B436" s="4"/>
      <c r="C436" s="16"/>
      <c r="D436" s="4"/>
      <c r="E436" s="16"/>
      <c r="F436" s="16"/>
      <c r="G436" s="4"/>
    </row>
    <row r="437" spans="2:7" ht="15">
      <c r="B437" s="1391" t="s">
        <v>230</v>
      </c>
      <c r="C437" s="1391"/>
      <c r="D437" s="1391"/>
      <c r="E437" s="1391"/>
      <c r="F437" s="1391"/>
      <c r="G437" s="4"/>
    </row>
    <row r="438" spans="2:7" ht="6" customHeight="1">
      <c r="B438" s="4"/>
      <c r="C438" s="16"/>
      <c r="D438" s="4"/>
      <c r="E438" s="16"/>
      <c r="F438" s="16"/>
      <c r="G438" s="4"/>
    </row>
    <row r="439" spans="2:7" ht="13.5" thickBot="1">
      <c r="B439" s="1396" t="s">
        <v>239</v>
      </c>
      <c r="C439" s="1396"/>
      <c r="D439" s="1396"/>
      <c r="E439" s="1396"/>
      <c r="F439" s="1396"/>
      <c r="G439" s="4"/>
    </row>
    <row r="440" spans="2:6" ht="13.5" thickTop="1">
      <c r="B440" s="217" t="s">
        <v>231</v>
      </c>
      <c r="C440" s="218"/>
      <c r="D440" s="219"/>
      <c r="E440" s="220"/>
      <c r="F440" s="221"/>
    </row>
    <row r="441" spans="2:6" ht="12.75">
      <c r="B441" s="222" t="s">
        <v>232</v>
      </c>
      <c r="C441" s="223">
        <v>1</v>
      </c>
      <c r="D441" s="224" t="s">
        <v>6</v>
      </c>
      <c r="E441" s="225">
        <v>200</v>
      </c>
      <c r="F441" s="353">
        <f>ROUND(C441*E441,2)</f>
        <v>200</v>
      </c>
    </row>
    <row r="442" spans="2:6" ht="12.75">
      <c r="B442" s="222"/>
      <c r="C442" s="223"/>
      <c r="D442" s="224"/>
      <c r="E442" s="225"/>
      <c r="F442" s="226"/>
    </row>
    <row r="443" spans="2:6" ht="12.75">
      <c r="B443" s="227" t="s">
        <v>12</v>
      </c>
      <c r="C443" s="223"/>
      <c r="D443" s="224"/>
      <c r="E443" s="225"/>
      <c r="F443" s="226"/>
    </row>
    <row r="444" spans="2:6" ht="12.75">
      <c r="B444" s="228" t="s">
        <v>154</v>
      </c>
      <c r="C444" s="223">
        <v>7.54</v>
      </c>
      <c r="D444" s="224" t="s">
        <v>7</v>
      </c>
      <c r="E444" s="225">
        <v>85</v>
      </c>
      <c r="F444" s="353">
        <f>ROUND(C444*E444,2)</f>
        <v>640.9</v>
      </c>
    </row>
    <row r="445" spans="2:6" ht="12.75">
      <c r="B445" s="229" t="s">
        <v>2</v>
      </c>
      <c r="C445" s="230">
        <v>4.48</v>
      </c>
      <c r="D445" s="224" t="s">
        <v>7</v>
      </c>
      <c r="E445" s="225">
        <v>52.6</v>
      </c>
      <c r="F445" s="353">
        <f>ROUND(C445*E445,2)</f>
        <v>235.65</v>
      </c>
    </row>
    <row r="446" spans="2:6" ht="12.75">
      <c r="B446" s="229" t="s">
        <v>243</v>
      </c>
      <c r="C446" s="223">
        <v>3.67</v>
      </c>
      <c r="D446" s="224" t="s">
        <v>7</v>
      </c>
      <c r="E446" s="225">
        <v>55</v>
      </c>
      <c r="F446" s="353">
        <f>ROUND(C446*E446,2)</f>
        <v>201.85</v>
      </c>
    </row>
    <row r="447" spans="2:6" ht="12.75">
      <c r="B447" s="229"/>
      <c r="C447" s="223"/>
      <c r="D447" s="224"/>
      <c r="E447" s="225"/>
      <c r="F447" s="226"/>
    </row>
    <row r="448" spans="2:6" ht="12.75">
      <c r="B448" s="227" t="s">
        <v>13</v>
      </c>
      <c r="C448" s="223"/>
      <c r="D448" s="224"/>
      <c r="E448" s="225"/>
      <c r="F448" s="226"/>
    </row>
    <row r="449" spans="2:6" ht="12.75">
      <c r="B449" s="229" t="s">
        <v>241</v>
      </c>
      <c r="C449" s="230">
        <v>0.25</v>
      </c>
      <c r="D449" s="224" t="s">
        <v>7</v>
      </c>
      <c r="E449" s="240">
        <f>F467</f>
        <v>11946.38</v>
      </c>
      <c r="F449" s="353">
        <f>ROUND(C449*E449,2)</f>
        <v>2986.6</v>
      </c>
    </row>
    <row r="450" spans="2:6" ht="12.75">
      <c r="B450" s="229" t="s">
        <v>242</v>
      </c>
      <c r="C450" s="239">
        <v>0.2</v>
      </c>
      <c r="D450" s="224" t="s">
        <v>7</v>
      </c>
      <c r="E450" s="240">
        <f>F473</f>
        <v>10432.34</v>
      </c>
      <c r="F450" s="353">
        <f>ROUND(C450*E450,2)</f>
        <v>2086.47</v>
      </c>
    </row>
    <row r="451" spans="2:6" ht="12.75">
      <c r="B451" s="229"/>
      <c r="C451" s="230"/>
      <c r="D451" s="224"/>
      <c r="E451" s="231"/>
      <c r="F451" s="226"/>
    </row>
    <row r="452" spans="2:6" ht="12.75">
      <c r="B452" s="227" t="s">
        <v>233</v>
      </c>
      <c r="C452" s="230"/>
      <c r="D452" s="224"/>
      <c r="E452" s="231"/>
      <c r="F452" s="226"/>
    </row>
    <row r="453" spans="2:6" ht="12.75">
      <c r="B453" s="229" t="s">
        <v>234</v>
      </c>
      <c r="C453" s="223">
        <v>6.44</v>
      </c>
      <c r="D453" s="224" t="s">
        <v>8</v>
      </c>
      <c r="E453" s="225">
        <f>F202</f>
        <v>737.79</v>
      </c>
      <c r="F453" s="353">
        <f>ROUND(C453*E453,2)</f>
        <v>4751.37</v>
      </c>
    </row>
    <row r="454" spans="2:6" ht="12.75">
      <c r="B454" s="229"/>
      <c r="C454" s="223"/>
      <c r="D454" s="224"/>
      <c r="E454" s="225"/>
      <c r="F454" s="226"/>
    </row>
    <row r="455" spans="2:6" ht="12.75">
      <c r="B455" s="227" t="s">
        <v>235</v>
      </c>
      <c r="C455" s="223"/>
      <c r="D455" s="224"/>
      <c r="E455" s="225"/>
      <c r="F455" s="226"/>
    </row>
    <row r="456" spans="2:6" ht="12.75">
      <c r="B456" s="229" t="s">
        <v>236</v>
      </c>
      <c r="C456" s="223">
        <v>1.04</v>
      </c>
      <c r="D456" s="224" t="s">
        <v>8</v>
      </c>
      <c r="E456" s="232">
        <f>F99</f>
        <v>246.8</v>
      </c>
      <c r="F456" s="353">
        <f>ROUND(C456*E456,2)</f>
        <v>256.67</v>
      </c>
    </row>
    <row r="457" spans="2:6" ht="12.75">
      <c r="B457" s="229" t="s">
        <v>237</v>
      </c>
      <c r="C457" s="223">
        <v>8.91</v>
      </c>
      <c r="D457" s="224" t="s">
        <v>105</v>
      </c>
      <c r="E457" s="232">
        <f>F137</f>
        <v>60.57</v>
      </c>
      <c r="F457" s="353">
        <f>ROUND(C457*E457,2)</f>
        <v>539.68</v>
      </c>
    </row>
    <row r="458" spans="2:6" ht="12.75">
      <c r="B458" s="229" t="s">
        <v>77</v>
      </c>
      <c r="C458" s="223">
        <v>1.04</v>
      </c>
      <c r="D458" s="224" t="s">
        <v>8</v>
      </c>
      <c r="E458" s="232">
        <f>F122</f>
        <v>443.52</v>
      </c>
      <c r="F458" s="353">
        <f>ROUND(C458*E458,2)</f>
        <v>461.26</v>
      </c>
    </row>
    <row r="459" spans="2:6" ht="12.75">
      <c r="B459" s="229"/>
      <c r="C459" s="223"/>
      <c r="D459" s="224"/>
      <c r="E459" s="225"/>
      <c r="F459" s="226"/>
    </row>
    <row r="460" spans="2:6" ht="12.75">
      <c r="B460" s="229" t="s">
        <v>253</v>
      </c>
      <c r="C460" s="223">
        <v>1</v>
      </c>
      <c r="D460" s="224" t="s">
        <v>124</v>
      </c>
      <c r="E460" s="232">
        <f>F482</f>
        <v>802.84</v>
      </c>
      <c r="F460" s="353">
        <f>ROUND(C460*E460,2)</f>
        <v>802.84</v>
      </c>
    </row>
    <row r="461" spans="2:6" ht="12.75">
      <c r="B461" s="227"/>
      <c r="C461" s="233"/>
      <c r="D461" s="224"/>
      <c r="E461" s="225"/>
      <c r="F461" s="234"/>
    </row>
    <row r="462" spans="2:6" ht="13.5" thickBot="1">
      <c r="B462" s="235"/>
      <c r="C462" s="236"/>
      <c r="D462" s="236"/>
      <c r="E462" s="237" t="s">
        <v>238</v>
      </c>
      <c r="F462" s="238">
        <f>SUM(F441:F461)</f>
        <v>13163.29</v>
      </c>
    </row>
    <row r="463" ht="13.5" thickTop="1">
      <c r="D463" s="2"/>
    </row>
    <row r="464" spans="2:6" ht="13.5" thickBot="1">
      <c r="B464" s="154" t="s">
        <v>245</v>
      </c>
      <c r="C464" s="210"/>
      <c r="D464" s="124"/>
      <c r="E464" s="124"/>
      <c r="F464" s="125"/>
    </row>
    <row r="465" spans="2:6" ht="13.5" thickTop="1">
      <c r="B465" s="126" t="s">
        <v>177</v>
      </c>
      <c r="C465" s="127">
        <v>1.05</v>
      </c>
      <c r="D465" s="128" t="s">
        <v>7</v>
      </c>
      <c r="E465" s="129">
        <f>F50</f>
        <v>4962.82</v>
      </c>
      <c r="F465" s="23">
        <f>ROUND(C465*E465,2)</f>
        <v>5210.96</v>
      </c>
    </row>
    <row r="466" spans="2:6" ht="12.75">
      <c r="B466" s="130" t="s">
        <v>153</v>
      </c>
      <c r="C466" s="131">
        <v>2.59</v>
      </c>
      <c r="D466" s="132" t="s">
        <v>33</v>
      </c>
      <c r="E466" s="133">
        <f>F166</f>
        <v>2600.55</v>
      </c>
      <c r="F466" s="353">
        <f>ROUND(C466*E466,2)</f>
        <v>6735.42</v>
      </c>
    </row>
    <row r="467" spans="2:6" ht="13.5" thickBot="1">
      <c r="B467" s="138"/>
      <c r="C467" s="139"/>
      <c r="D467" s="139"/>
      <c r="E467" s="152" t="s">
        <v>176</v>
      </c>
      <c r="F467" s="141">
        <f>SUM(F465:F466)</f>
        <v>11946.38</v>
      </c>
    </row>
    <row r="468" spans="2:6" ht="13.5" thickTop="1">
      <c r="B468" s="211"/>
      <c r="C468" s="211"/>
      <c r="D468" s="211"/>
      <c r="E468" s="212"/>
      <c r="F468" s="213"/>
    </row>
    <row r="469" spans="2:6" ht="13.5" thickBot="1">
      <c r="B469" s="154" t="s">
        <v>244</v>
      </c>
      <c r="C469" s="214">
        <v>0.12</v>
      </c>
      <c r="D469" s="124"/>
      <c r="E469" s="124"/>
      <c r="F469" s="125"/>
    </row>
    <row r="470" spans="2:6" ht="13.5" thickTop="1">
      <c r="B470" s="126" t="s">
        <v>183</v>
      </c>
      <c r="C470" s="127">
        <v>1.05</v>
      </c>
      <c r="D470" s="128" t="s">
        <v>7</v>
      </c>
      <c r="E470" s="129">
        <f>F60</f>
        <v>4455.62</v>
      </c>
      <c r="F470" s="23">
        <f>ROUND(C470*E470,2)</f>
        <v>4678.4</v>
      </c>
    </row>
    <row r="471" spans="2:6" ht="12.75">
      <c r="B471" s="130" t="s">
        <v>153</v>
      </c>
      <c r="C471" s="131">
        <v>1.62</v>
      </c>
      <c r="D471" s="132" t="s">
        <v>33</v>
      </c>
      <c r="E471" s="133">
        <f>F166</f>
        <v>2600.55</v>
      </c>
      <c r="F471" s="353">
        <f>ROUND(C471*E471,2)</f>
        <v>4212.89</v>
      </c>
    </row>
    <row r="472" spans="2:6" ht="12.75">
      <c r="B472" s="134" t="s">
        <v>178</v>
      </c>
      <c r="C472" s="135">
        <f>ROUND(1/C469,2)</f>
        <v>8.33</v>
      </c>
      <c r="D472" s="136" t="s">
        <v>20</v>
      </c>
      <c r="E472" s="137">
        <v>185</v>
      </c>
      <c r="F472" s="353">
        <f>ROUND(C472*E472,2)</f>
        <v>1541.05</v>
      </c>
    </row>
    <row r="473" spans="2:6" ht="13.5" thickBot="1">
      <c r="B473" s="138"/>
      <c r="C473" s="139"/>
      <c r="D473" s="139"/>
      <c r="E473" s="152" t="s">
        <v>176</v>
      </c>
      <c r="F473" s="141">
        <f>SUM(F470:F472)</f>
        <v>10432.34</v>
      </c>
    </row>
    <row r="474" ht="13.5" thickTop="1">
      <c r="D474" s="2"/>
    </row>
    <row r="475" spans="2:6" ht="13.5" thickBot="1">
      <c r="B475" s="121" t="s">
        <v>252</v>
      </c>
      <c r="C475" s="241">
        <f>(0.8*0.8*0.1)</f>
        <v>0.06</v>
      </c>
      <c r="D475" s="216" t="s">
        <v>7</v>
      </c>
      <c r="E475" s="242"/>
      <c r="F475" s="243"/>
    </row>
    <row r="476" spans="2:6" ht="13.5" thickTop="1">
      <c r="B476" s="244" t="s">
        <v>246</v>
      </c>
      <c r="C476" s="245">
        <v>1.05</v>
      </c>
      <c r="D476" s="246" t="s">
        <v>7</v>
      </c>
      <c r="E476" s="247">
        <f>F60</f>
        <v>4455.62</v>
      </c>
      <c r="F476" s="23">
        <f aca="true" t="shared" si="4" ref="F476:F481">ROUND(C476*E476,2)</f>
        <v>4678.4</v>
      </c>
    </row>
    <row r="477" spans="2:6" ht="12.75">
      <c r="B477" s="248" t="s">
        <v>153</v>
      </c>
      <c r="C477" s="249">
        <v>1.68</v>
      </c>
      <c r="D477" s="250" t="s">
        <v>33</v>
      </c>
      <c r="E477" s="251">
        <f>F166</f>
        <v>2600.55</v>
      </c>
      <c r="F477" s="353">
        <f t="shared" si="4"/>
        <v>4368.92</v>
      </c>
    </row>
    <row r="478" spans="2:6" ht="12.75">
      <c r="B478" s="248" t="s">
        <v>247</v>
      </c>
      <c r="C478" s="252">
        <v>10</v>
      </c>
      <c r="D478" s="250" t="s">
        <v>8</v>
      </c>
      <c r="E478" s="251">
        <v>100</v>
      </c>
      <c r="F478" s="353">
        <f t="shared" si="4"/>
        <v>1000</v>
      </c>
    </row>
    <row r="479" spans="2:6" ht="12.75">
      <c r="B479" s="248"/>
      <c r="C479" s="249"/>
      <c r="D479" s="253"/>
      <c r="E479" s="254" t="s">
        <v>248</v>
      </c>
      <c r="F479" s="255">
        <f>SUM(F476:F478)</f>
        <v>10047.32</v>
      </c>
    </row>
    <row r="480" spans="2:6" ht="12.75">
      <c r="B480" s="248" t="s">
        <v>249</v>
      </c>
      <c r="C480" s="249">
        <v>0.06</v>
      </c>
      <c r="D480" s="250" t="s">
        <v>7</v>
      </c>
      <c r="E480" s="256">
        <f>F479</f>
        <v>10047.32</v>
      </c>
      <c r="F480" s="353">
        <f t="shared" si="4"/>
        <v>602.84</v>
      </c>
    </row>
    <row r="481" spans="2:6" ht="12.75">
      <c r="B481" s="248" t="s">
        <v>250</v>
      </c>
      <c r="C481" s="252">
        <v>1</v>
      </c>
      <c r="D481" s="250" t="s">
        <v>124</v>
      </c>
      <c r="E481" s="252">
        <v>200</v>
      </c>
      <c r="F481" s="353">
        <f t="shared" si="4"/>
        <v>200</v>
      </c>
    </row>
    <row r="482" spans="2:6" ht="13.5" thickBot="1">
      <c r="B482" s="257"/>
      <c r="C482" s="258"/>
      <c r="D482" s="259"/>
      <c r="E482" s="237" t="s">
        <v>251</v>
      </c>
      <c r="F482" s="260">
        <f>SUM(F480:F481)</f>
        <v>802.84</v>
      </c>
    </row>
    <row r="483" ht="13.5" thickTop="1">
      <c r="D483" s="2"/>
    </row>
    <row r="484" spans="2:6" ht="13.5" thickBot="1">
      <c r="B484" s="261" t="s">
        <v>276</v>
      </c>
      <c r="C484" s="262">
        <v>1.85</v>
      </c>
      <c r="D484" s="263" t="s">
        <v>20</v>
      </c>
      <c r="E484" s="95"/>
      <c r="F484" s="95"/>
    </row>
    <row r="485" spans="2:6" ht="13.5" thickTop="1">
      <c r="B485" s="331" t="s">
        <v>256</v>
      </c>
      <c r="C485" s="332">
        <v>6.1</v>
      </c>
      <c r="D485" s="333" t="s">
        <v>20</v>
      </c>
      <c r="E485" s="332">
        <v>111.2</v>
      </c>
      <c r="F485" s="23">
        <f>ROUND(C485*E485,2)</f>
        <v>678.32</v>
      </c>
    </row>
    <row r="486" spans="2:9" ht="12.75">
      <c r="B486" s="334" t="s">
        <v>257</v>
      </c>
      <c r="C486" s="264">
        <v>0.3</v>
      </c>
      <c r="D486" s="265" t="s">
        <v>57</v>
      </c>
      <c r="E486" s="264">
        <f>F375</f>
        <v>2850</v>
      </c>
      <c r="F486" s="353">
        <f>ROUND(C486*E486,2)</f>
        <v>855</v>
      </c>
      <c r="I486" s="175"/>
    </row>
    <row r="487" spans="2:6" ht="12.75">
      <c r="B487" s="334" t="s">
        <v>258</v>
      </c>
      <c r="C487" s="264">
        <v>0.3</v>
      </c>
      <c r="D487" s="265" t="s">
        <v>57</v>
      </c>
      <c r="E487" s="264">
        <f>F368</f>
        <v>8493.12</v>
      </c>
      <c r="F487" s="353">
        <f>ROUND(C487*E487,2)</f>
        <v>2547.94</v>
      </c>
    </row>
    <row r="488" spans="2:6" ht="12.75">
      <c r="B488" s="334" t="s">
        <v>259</v>
      </c>
      <c r="C488" s="264">
        <v>0.37</v>
      </c>
      <c r="D488" s="265" t="s">
        <v>8</v>
      </c>
      <c r="E488" s="264">
        <v>104.52</v>
      </c>
      <c r="F488" s="353">
        <f>ROUND(C488*E488,2)</f>
        <v>38.67</v>
      </c>
    </row>
    <row r="489" spans="2:6" ht="12.75">
      <c r="B489" s="334" t="s">
        <v>260</v>
      </c>
      <c r="C489" s="264">
        <v>0.37</v>
      </c>
      <c r="D489" s="265" t="s">
        <v>8</v>
      </c>
      <c r="E489" s="264">
        <v>124.07</v>
      </c>
      <c r="F489" s="353">
        <f>ROUND(C489*E489,2)</f>
        <v>45.91</v>
      </c>
    </row>
    <row r="490" spans="2:6" ht="12.75">
      <c r="B490" s="334"/>
      <c r="C490" s="264"/>
      <c r="D490" s="1397" t="s">
        <v>261</v>
      </c>
      <c r="E490" s="1397"/>
      <c r="F490" s="335">
        <f>SUM(F485:F489)</f>
        <v>4165.84</v>
      </c>
    </row>
    <row r="491" spans="2:6" ht="13.5" thickBot="1">
      <c r="B491" s="336"/>
      <c r="C491" s="337"/>
      <c r="D491" s="1398" t="s">
        <v>262</v>
      </c>
      <c r="E491" s="1398"/>
      <c r="F491" s="338">
        <f>ROUND(F490/C484,2)</f>
        <v>2251.81</v>
      </c>
    </row>
    <row r="492" ht="13.5" thickTop="1">
      <c r="D492" s="2"/>
    </row>
    <row r="493" spans="2:6" ht="13.5" thickBot="1">
      <c r="B493" s="121" t="s">
        <v>277</v>
      </c>
      <c r="C493" s="121"/>
      <c r="D493" s="121"/>
      <c r="E493" s="121"/>
      <c r="F493" s="121"/>
    </row>
    <row r="494" spans="2:6" ht="13.5" thickTop="1">
      <c r="B494" s="286" t="s">
        <v>300</v>
      </c>
      <c r="C494" s="298">
        <v>4</v>
      </c>
      <c r="D494" s="287" t="s">
        <v>124</v>
      </c>
      <c r="E494" s="288">
        <v>562.6</v>
      </c>
      <c r="F494" s="23">
        <f aca="true" t="shared" si="5" ref="F494:F511">ROUND(C494*E494,2)</f>
        <v>2250.4</v>
      </c>
    </row>
    <row r="495" spans="2:6" ht="12.75">
      <c r="B495" s="289" t="s">
        <v>278</v>
      </c>
      <c r="C495" s="299">
        <v>4</v>
      </c>
      <c r="D495" s="290" t="s">
        <v>124</v>
      </c>
      <c r="E495" s="291">
        <v>50.16</v>
      </c>
      <c r="F495" s="353">
        <f t="shared" si="5"/>
        <v>200.64</v>
      </c>
    </row>
    <row r="496" spans="2:6" ht="12.75">
      <c r="B496" s="289" t="s">
        <v>279</v>
      </c>
      <c r="C496" s="299">
        <v>5.4</v>
      </c>
      <c r="D496" s="290" t="s">
        <v>8</v>
      </c>
      <c r="E496" s="291">
        <v>243.9</v>
      </c>
      <c r="F496" s="353">
        <f t="shared" si="5"/>
        <v>1317.06</v>
      </c>
    </row>
    <row r="497" spans="2:6" ht="12.75">
      <c r="B497" s="289" t="s">
        <v>280</v>
      </c>
      <c r="C497" s="299">
        <v>2</v>
      </c>
      <c r="D497" s="290" t="s">
        <v>124</v>
      </c>
      <c r="E497" s="291">
        <v>272.59</v>
      </c>
      <c r="F497" s="353">
        <f t="shared" si="5"/>
        <v>545.18</v>
      </c>
    </row>
    <row r="498" spans="2:6" ht="12.75">
      <c r="B498" s="289" t="s">
        <v>170</v>
      </c>
      <c r="C498" s="299">
        <v>18</v>
      </c>
      <c r="D498" s="290" t="s">
        <v>124</v>
      </c>
      <c r="E498" s="291">
        <v>22.93</v>
      </c>
      <c r="F498" s="353">
        <f t="shared" si="5"/>
        <v>412.74</v>
      </c>
    </row>
    <row r="499" spans="2:6" ht="12.75">
      <c r="B499" s="289" t="s">
        <v>281</v>
      </c>
      <c r="C499" s="299">
        <v>2</v>
      </c>
      <c r="D499" s="290" t="s">
        <v>282</v>
      </c>
      <c r="E499" s="291">
        <v>32</v>
      </c>
      <c r="F499" s="353">
        <f t="shared" si="5"/>
        <v>64</v>
      </c>
    </row>
    <row r="500" spans="2:6" ht="12.75">
      <c r="B500" s="293" t="s">
        <v>196</v>
      </c>
      <c r="C500" s="299">
        <v>1</v>
      </c>
      <c r="D500" s="290" t="s">
        <v>57</v>
      </c>
      <c r="E500" s="291">
        <v>2500</v>
      </c>
      <c r="F500" s="353">
        <f t="shared" si="5"/>
        <v>2500</v>
      </c>
    </row>
    <row r="501" spans="2:6" ht="12.75">
      <c r="B501" s="294" t="s">
        <v>283</v>
      </c>
      <c r="C501" s="299"/>
      <c r="D501" s="290"/>
      <c r="E501" s="291"/>
      <c r="F501" s="292"/>
    </row>
    <row r="502" spans="2:6" ht="12.75">
      <c r="B502" s="289" t="s">
        <v>297</v>
      </c>
      <c r="C502" s="299">
        <v>1</v>
      </c>
      <c r="D502" s="290" t="s">
        <v>57</v>
      </c>
      <c r="E502" s="291">
        <v>1100</v>
      </c>
      <c r="F502" s="353">
        <f t="shared" si="5"/>
        <v>1100</v>
      </c>
    </row>
    <row r="503" spans="2:6" ht="12.75">
      <c r="B503" s="293" t="s">
        <v>284</v>
      </c>
      <c r="C503" s="299">
        <v>1</v>
      </c>
      <c r="D503" s="290" t="s">
        <v>57</v>
      </c>
      <c r="E503" s="291">
        <v>750</v>
      </c>
      <c r="F503" s="353">
        <f t="shared" si="5"/>
        <v>750</v>
      </c>
    </row>
    <row r="504" spans="2:6" ht="12.75">
      <c r="B504" s="289" t="s">
        <v>285</v>
      </c>
      <c r="C504" s="299">
        <v>1</v>
      </c>
      <c r="D504" s="290" t="s">
        <v>57</v>
      </c>
      <c r="E504" s="291">
        <v>500</v>
      </c>
      <c r="F504" s="353">
        <f t="shared" si="5"/>
        <v>500</v>
      </c>
    </row>
    <row r="505" spans="2:6" ht="12.75">
      <c r="B505" s="289" t="s">
        <v>286</v>
      </c>
      <c r="C505" s="299">
        <v>1</v>
      </c>
      <c r="D505" s="290" t="s">
        <v>124</v>
      </c>
      <c r="E505" s="291">
        <v>475</v>
      </c>
      <c r="F505" s="353">
        <f t="shared" si="5"/>
        <v>475</v>
      </c>
    </row>
    <row r="506" spans="2:6" ht="12.75">
      <c r="B506" s="289" t="s">
        <v>287</v>
      </c>
      <c r="C506" s="299">
        <v>1</v>
      </c>
      <c r="D506" s="290" t="s">
        <v>124</v>
      </c>
      <c r="E506" s="291">
        <v>145</v>
      </c>
      <c r="F506" s="353">
        <f t="shared" si="5"/>
        <v>145</v>
      </c>
    </row>
    <row r="507" spans="2:6" ht="12.75">
      <c r="B507" s="289" t="s">
        <v>288</v>
      </c>
      <c r="C507" s="299">
        <v>6</v>
      </c>
      <c r="D507" s="290" t="s">
        <v>124</v>
      </c>
      <c r="E507" s="291">
        <v>87.65</v>
      </c>
      <c r="F507" s="353">
        <f t="shared" si="5"/>
        <v>525.9</v>
      </c>
    </row>
    <row r="508" spans="2:6" ht="12.75">
      <c r="B508" s="289" t="s">
        <v>289</v>
      </c>
      <c r="C508" s="299">
        <v>9</v>
      </c>
      <c r="D508" s="290" t="s">
        <v>105</v>
      </c>
      <c r="E508" s="291">
        <v>6.5</v>
      </c>
      <c r="F508" s="353">
        <f t="shared" si="5"/>
        <v>58.5</v>
      </c>
    </row>
    <row r="509" spans="2:6" ht="12.75">
      <c r="B509" s="289" t="s">
        <v>290</v>
      </c>
      <c r="C509" s="299">
        <v>9.66</v>
      </c>
      <c r="D509" s="290" t="s">
        <v>8</v>
      </c>
      <c r="E509" s="291">
        <v>124.07</v>
      </c>
      <c r="F509" s="353">
        <f t="shared" si="5"/>
        <v>1198.52</v>
      </c>
    </row>
    <row r="510" spans="2:6" ht="12.75">
      <c r="B510" s="289" t="s">
        <v>291</v>
      </c>
      <c r="C510" s="299">
        <v>1</v>
      </c>
      <c r="D510" s="290" t="s">
        <v>6</v>
      </c>
      <c r="E510" s="291">
        <v>1000</v>
      </c>
      <c r="F510" s="353">
        <f t="shared" si="5"/>
        <v>1000</v>
      </c>
    </row>
    <row r="511" spans="2:6" ht="12.75">
      <c r="B511" s="289" t="s">
        <v>38</v>
      </c>
      <c r="C511" s="299">
        <v>1</v>
      </c>
      <c r="D511" s="290" t="s">
        <v>6</v>
      </c>
      <c r="E511" s="291">
        <v>400</v>
      </c>
      <c r="F511" s="353">
        <f t="shared" si="5"/>
        <v>400</v>
      </c>
    </row>
    <row r="512" spans="2:6" ht="13.5" thickBot="1">
      <c r="B512" s="295" t="s">
        <v>292</v>
      </c>
      <c r="C512" s="296"/>
      <c r="D512" s="1386" t="s">
        <v>293</v>
      </c>
      <c r="E512" s="1386"/>
      <c r="F512" s="297">
        <f>ROUND(SUM(F494:F511),2)</f>
        <v>13442.94</v>
      </c>
    </row>
    <row r="513" ht="13.5" thickTop="1">
      <c r="D513" s="2"/>
    </row>
    <row r="514" spans="2:6" ht="15">
      <c r="B514" s="1391" t="s">
        <v>321</v>
      </c>
      <c r="C514" s="1391"/>
      <c r="D514" s="1391"/>
      <c r="E514" s="1391"/>
      <c r="F514" s="1391"/>
    </row>
    <row r="515" spans="2:6" ht="13.5" thickBot="1">
      <c r="B515" s="4"/>
      <c r="C515" s="16"/>
      <c r="D515" s="4"/>
      <c r="E515" s="16"/>
      <c r="F515" s="16"/>
    </row>
    <row r="516" spans="2:6" ht="13.5" thickTop="1">
      <c r="B516" s="21" t="s">
        <v>322</v>
      </c>
      <c r="C516" s="22">
        <v>1</v>
      </c>
      <c r="D516" s="342" t="s">
        <v>124</v>
      </c>
      <c r="E516" s="22">
        <v>75000</v>
      </c>
      <c r="F516" s="23">
        <f>ROUND(C516*E516,2)</f>
        <v>75000</v>
      </c>
    </row>
    <row r="517" spans="2:9" ht="12.75">
      <c r="B517" s="27" t="s">
        <v>326</v>
      </c>
      <c r="C517" s="28">
        <v>1</v>
      </c>
      <c r="D517" s="174" t="s">
        <v>124</v>
      </c>
      <c r="E517" s="28">
        <v>28898</v>
      </c>
      <c r="F517" s="353">
        <f>ROUND(C517*E517,2)</f>
        <v>28898</v>
      </c>
      <c r="I517" s="16"/>
    </row>
    <row r="518" spans="2:9" ht="12.75">
      <c r="B518" s="27" t="s">
        <v>323</v>
      </c>
      <c r="C518" s="28">
        <v>1</v>
      </c>
      <c r="D518" s="174" t="s">
        <v>6</v>
      </c>
      <c r="E518" s="28">
        <v>12500</v>
      </c>
      <c r="F518" s="353">
        <f>ROUND(C518*E518,2)</f>
        <v>12500</v>
      </c>
      <c r="I518" s="16"/>
    </row>
    <row r="519" spans="2:9" ht="13.5" thickBot="1">
      <c r="B519" s="35"/>
      <c r="C519" s="42"/>
      <c r="D519" s="107"/>
      <c r="E519" s="42"/>
      <c r="F519" s="31">
        <f>SUM(F516:F518)</f>
        <v>116398</v>
      </c>
      <c r="I519" s="16"/>
    </row>
    <row r="520" spans="2:9" ht="14.25" thickBot="1" thickTop="1">
      <c r="B520" s="4"/>
      <c r="C520" s="16"/>
      <c r="D520" s="4"/>
      <c r="E520" s="16"/>
      <c r="F520" s="16"/>
      <c r="I520" s="153"/>
    </row>
    <row r="521" spans="2:9" ht="13.5" thickTop="1">
      <c r="B521" s="21" t="s">
        <v>324</v>
      </c>
      <c r="C521" s="22">
        <v>1</v>
      </c>
      <c r="D521" s="173" t="s">
        <v>124</v>
      </c>
      <c r="E521" s="22">
        <v>20000</v>
      </c>
      <c r="F521" s="23">
        <f>ROUND(C521*E521,2)</f>
        <v>20000</v>
      </c>
      <c r="I521" s="16"/>
    </row>
    <row r="522" spans="2:9" ht="12.75">
      <c r="B522" s="27"/>
      <c r="C522" s="28"/>
      <c r="D522" s="106"/>
      <c r="E522" s="28"/>
      <c r="F522" s="26"/>
      <c r="I522" s="16"/>
    </row>
    <row r="523" spans="2:9" ht="13.5" thickBot="1">
      <c r="B523" s="35" t="s">
        <v>325</v>
      </c>
      <c r="C523" s="42">
        <v>1</v>
      </c>
      <c r="D523" s="183" t="s">
        <v>6</v>
      </c>
      <c r="E523" s="42">
        <v>7000</v>
      </c>
      <c r="F523" s="365">
        <f>ROUND(C523*E523,2)</f>
        <v>7000</v>
      </c>
      <c r="I523" s="16"/>
    </row>
    <row r="524" spans="2:10" ht="13.5" thickTop="1">
      <c r="B524" s="4"/>
      <c r="C524" s="16"/>
      <c r="D524" s="4"/>
      <c r="E524" s="16"/>
      <c r="F524" s="16"/>
      <c r="I524" s="16"/>
      <c r="J524" s="153"/>
    </row>
    <row r="525" spans="2:9" ht="13.5" thickBot="1">
      <c r="B525" s="381" t="s">
        <v>418</v>
      </c>
      <c r="C525" s="387"/>
      <c r="D525" s="388"/>
      <c r="E525" s="387"/>
      <c r="F525" s="387"/>
      <c r="I525" s="16"/>
    </row>
    <row r="526" spans="2:9" ht="13.5" thickTop="1">
      <c r="B526" s="490" t="s">
        <v>419</v>
      </c>
      <c r="C526" s="447">
        <v>1.5</v>
      </c>
      <c r="D526" s="491" t="s">
        <v>20</v>
      </c>
      <c r="E526" s="447">
        <v>3245</v>
      </c>
      <c r="F526" s="485">
        <f>ROUND(C526*E526,2)</f>
        <v>4867.5</v>
      </c>
      <c r="I526" s="16"/>
    </row>
    <row r="527" spans="2:6" ht="12.75">
      <c r="B527" s="389" t="s">
        <v>420</v>
      </c>
      <c r="C527" s="390">
        <v>1</v>
      </c>
      <c r="D527" s="391" t="s">
        <v>124</v>
      </c>
      <c r="E527" s="390">
        <v>130.6</v>
      </c>
      <c r="F527" s="392">
        <f>ROUND(C527*E527,2)</f>
        <v>130.6</v>
      </c>
    </row>
    <row r="528" spans="2:10" ht="12.75">
      <c r="B528" s="389" t="s">
        <v>421</v>
      </c>
      <c r="C528" s="390">
        <v>1</v>
      </c>
      <c r="D528" s="393" t="s">
        <v>124</v>
      </c>
      <c r="E528" s="390">
        <v>200</v>
      </c>
      <c r="F528" s="392">
        <f>ROUND(C528*E528,2)</f>
        <v>200</v>
      </c>
      <c r="I528" s="204">
        <f>30*2.5</f>
        <v>75</v>
      </c>
      <c r="J528" s="204"/>
    </row>
    <row r="529" spans="2:10" ht="13.5" thickBot="1">
      <c r="B529" s="394"/>
      <c r="C529" s="395"/>
      <c r="D529" s="396"/>
      <c r="E529" s="397" t="s">
        <v>422</v>
      </c>
      <c r="F529" s="398">
        <f>SUM(F526:F528)</f>
        <v>5198.1</v>
      </c>
      <c r="I529" s="370">
        <f>I528/100</f>
        <v>0.75</v>
      </c>
      <c r="J529" s="204"/>
    </row>
    <row r="530" spans="2:10" ht="13.5" thickTop="1">
      <c r="B530" s="4"/>
      <c r="C530" s="16"/>
      <c r="D530" s="4"/>
      <c r="E530" s="16"/>
      <c r="F530" s="369"/>
      <c r="I530" s="204">
        <f>(I529^2*PI())/4</f>
        <v>0.4</v>
      </c>
      <c r="J530" s="204"/>
    </row>
    <row r="531" spans="2:10" ht="12.75">
      <c r="B531" s="1392" t="s">
        <v>425</v>
      </c>
      <c r="C531" s="1392"/>
      <c r="D531" s="1392"/>
      <c r="E531" s="1392"/>
      <c r="F531" s="1392"/>
      <c r="I531" s="378">
        <f>+I530*0.1</f>
        <v>0.04</v>
      </c>
      <c r="J531" s="368">
        <f>I531*4434.56</f>
        <v>177.38</v>
      </c>
    </row>
    <row r="532" spans="1:7" ht="12.75">
      <c r="A532" s="4"/>
      <c r="B532" s="4"/>
      <c r="C532" s="16"/>
      <c r="D532" s="4"/>
      <c r="E532" s="16"/>
      <c r="F532" s="16"/>
      <c r="G532" s="4"/>
    </row>
    <row r="533" spans="1:9" ht="13.5" thickBot="1">
      <c r="A533" s="4"/>
      <c r="B533" s="401" t="s">
        <v>426</v>
      </c>
      <c r="C533" s="383"/>
      <c r="D533" s="384"/>
      <c r="E533" s="383"/>
      <c r="F533" s="383"/>
      <c r="G533" s="4"/>
      <c r="I533" s="16"/>
    </row>
    <row r="534" spans="1:9" ht="13.5" thickTop="1">
      <c r="A534" s="4"/>
      <c r="B534" s="404" t="s">
        <v>183</v>
      </c>
      <c r="C534" s="405">
        <v>1.05</v>
      </c>
      <c r="D534" s="406" t="s">
        <v>7</v>
      </c>
      <c r="E534" s="407">
        <f>F60</f>
        <v>4455.62</v>
      </c>
      <c r="F534" s="449">
        <f>ROUND(C534*E534,2)</f>
        <v>4678.4</v>
      </c>
      <c r="G534" s="4"/>
      <c r="I534" s="371">
        <f>(0.5^2*PI())/4</f>
        <v>0.2</v>
      </c>
    </row>
    <row r="535" spans="1:10" ht="12.75">
      <c r="A535" s="4"/>
      <c r="B535" s="408" t="s">
        <v>153</v>
      </c>
      <c r="C535" s="409">
        <v>0.36</v>
      </c>
      <c r="D535" s="410" t="s">
        <v>33</v>
      </c>
      <c r="E535" s="411">
        <f>F166</f>
        <v>2600.55</v>
      </c>
      <c r="F535" s="412">
        <f>ROUND(C535*E535,2)</f>
        <v>936.2</v>
      </c>
      <c r="G535" s="4"/>
      <c r="I535" s="371">
        <f>I534*0.15</f>
        <v>0.03</v>
      </c>
      <c r="J535" s="3">
        <f>4434.56*I535</f>
        <v>133</v>
      </c>
    </row>
    <row r="536" spans="1:9" ht="12.75">
      <c r="A536" s="4"/>
      <c r="B536" s="413" t="s">
        <v>431</v>
      </c>
      <c r="C536" s="414">
        <v>8.9</v>
      </c>
      <c r="D536" s="415" t="s">
        <v>20</v>
      </c>
      <c r="E536" s="416">
        <v>80.55</v>
      </c>
      <c r="F536" s="412">
        <f>ROUND(C536*E536,2)</f>
        <v>716.9</v>
      </c>
      <c r="G536" s="4"/>
      <c r="I536" s="371"/>
    </row>
    <row r="537" spans="1:7" ht="13.5" thickBot="1">
      <c r="A537" s="4"/>
      <c r="B537" s="417"/>
      <c r="C537" s="418"/>
      <c r="D537" s="418"/>
      <c r="E537" s="419" t="s">
        <v>176</v>
      </c>
      <c r="F537" s="420">
        <f>SUM(F534:F535)</f>
        <v>5614.6</v>
      </c>
      <c r="G537" s="4"/>
    </row>
    <row r="538" spans="1:9" ht="13.5" thickTop="1">
      <c r="A538" s="4"/>
      <c r="B538" s="384"/>
      <c r="C538" s="383"/>
      <c r="D538" s="384"/>
      <c r="E538" s="383"/>
      <c r="F538" s="383"/>
      <c r="G538" s="4"/>
      <c r="I538" s="3">
        <f>1/(0.45*0.25)</f>
        <v>8.9</v>
      </c>
    </row>
    <row r="539" spans="1:7" ht="13.5" thickBot="1">
      <c r="A539" s="4"/>
      <c r="B539" s="421" t="s">
        <v>427</v>
      </c>
      <c r="C539" s="422">
        <f>0.2*0.3</f>
        <v>0.06</v>
      </c>
      <c r="D539" s="456"/>
      <c r="E539" s="456"/>
      <c r="F539" s="457"/>
      <c r="G539" s="4"/>
    </row>
    <row r="540" spans="1:7" ht="13.5" thickTop="1">
      <c r="A540" s="4"/>
      <c r="B540" s="404" t="s">
        <v>177</v>
      </c>
      <c r="C540" s="405">
        <v>1.05</v>
      </c>
      <c r="D540" s="406" t="s">
        <v>7</v>
      </c>
      <c r="E540" s="407">
        <f>F50</f>
        <v>4962.82</v>
      </c>
      <c r="F540" s="449">
        <f>ROUND(C540*E540,2)</f>
        <v>5210.96</v>
      </c>
      <c r="G540" s="4"/>
    </row>
    <row r="541" spans="1:7" ht="12.75">
      <c r="A541" s="4"/>
      <c r="B541" s="408" t="s">
        <v>153</v>
      </c>
      <c r="C541" s="409">
        <v>3.56</v>
      </c>
      <c r="D541" s="410" t="s">
        <v>33</v>
      </c>
      <c r="E541" s="411">
        <f>F166</f>
        <v>2600.55</v>
      </c>
      <c r="F541" s="412">
        <f>ROUND(C541*E541,2)</f>
        <v>9257.96</v>
      </c>
      <c r="G541" s="4"/>
    </row>
    <row r="542" spans="1:7" ht="12.75">
      <c r="A542" s="4"/>
      <c r="B542" s="413" t="s">
        <v>431</v>
      </c>
      <c r="C542" s="414">
        <v>16.67</v>
      </c>
      <c r="D542" s="415" t="s">
        <v>20</v>
      </c>
      <c r="E542" s="416">
        <v>80.55</v>
      </c>
      <c r="F542" s="412">
        <f>ROUND(C542*E542,2)</f>
        <v>1342.77</v>
      </c>
      <c r="G542" s="4"/>
    </row>
    <row r="543" spans="1:7" ht="12.75">
      <c r="A543" s="4"/>
      <c r="B543" s="413" t="s">
        <v>178</v>
      </c>
      <c r="C543" s="414">
        <f>ROUND(1/C539,2)</f>
        <v>16.67</v>
      </c>
      <c r="D543" s="415" t="s">
        <v>20</v>
      </c>
      <c r="E543" s="416">
        <v>250</v>
      </c>
      <c r="F543" s="412">
        <f>ROUND(C543*E543,2)</f>
        <v>4167.5</v>
      </c>
      <c r="G543" s="4"/>
    </row>
    <row r="544" spans="1:7" ht="13.5" thickBot="1">
      <c r="A544" s="4"/>
      <c r="B544" s="417"/>
      <c r="C544" s="418"/>
      <c r="D544" s="418"/>
      <c r="E544" s="419" t="s">
        <v>176</v>
      </c>
      <c r="F544" s="420">
        <f>SUM(F540:F543)</f>
        <v>19979.19</v>
      </c>
      <c r="G544" s="4"/>
    </row>
    <row r="545" spans="1:7" ht="13.5" thickTop="1">
      <c r="A545" s="4"/>
      <c r="B545" s="384"/>
      <c r="C545" s="383"/>
      <c r="D545" s="384"/>
      <c r="E545" s="383"/>
      <c r="F545" s="383"/>
      <c r="G545" s="4"/>
    </row>
    <row r="546" spans="1:7" ht="13.5" thickBot="1">
      <c r="A546" s="4"/>
      <c r="B546" s="425" t="s">
        <v>464</v>
      </c>
      <c r="C546" s="422">
        <v>0.1</v>
      </c>
      <c r="D546" s="456"/>
      <c r="E546" s="456"/>
      <c r="F546" s="457"/>
      <c r="G546" s="4"/>
    </row>
    <row r="547" spans="1:7" ht="13.5" thickTop="1">
      <c r="A547" s="4"/>
      <c r="B547" s="404" t="s">
        <v>183</v>
      </c>
      <c r="C547" s="405">
        <v>1.05</v>
      </c>
      <c r="D547" s="406" t="s">
        <v>7</v>
      </c>
      <c r="E547" s="407">
        <f>F60</f>
        <v>4455.62</v>
      </c>
      <c r="F547" s="449">
        <f>ROUND(C547*E547,2)</f>
        <v>4678.4</v>
      </c>
      <c r="G547" s="4"/>
    </row>
    <row r="548" spans="1:7" ht="12.75">
      <c r="A548" s="4"/>
      <c r="B548" s="408" t="s">
        <v>153</v>
      </c>
      <c r="C548" s="409">
        <v>1.48</v>
      </c>
      <c r="D548" s="410" t="s">
        <v>33</v>
      </c>
      <c r="E548" s="411">
        <f>F172</f>
        <v>2745.66</v>
      </c>
      <c r="F548" s="412">
        <f>ROUND(C548*E548,2)</f>
        <v>4063.58</v>
      </c>
      <c r="G548" s="4"/>
    </row>
    <row r="549" spans="1:7" ht="12.75">
      <c r="A549" s="4"/>
      <c r="B549" s="413" t="s">
        <v>178</v>
      </c>
      <c r="C549" s="414">
        <f>ROUND(1/C546,2)</f>
        <v>10</v>
      </c>
      <c r="D549" s="415" t="s">
        <v>20</v>
      </c>
      <c r="E549" s="416">
        <v>185</v>
      </c>
      <c r="F549" s="412">
        <f>ROUND(C549*E549,2)</f>
        <v>1850</v>
      </c>
      <c r="G549" s="4"/>
    </row>
    <row r="550" spans="1:7" ht="13.5" thickBot="1">
      <c r="A550" s="4"/>
      <c r="B550" s="417"/>
      <c r="C550" s="418"/>
      <c r="D550" s="418"/>
      <c r="E550" s="419" t="s">
        <v>176</v>
      </c>
      <c r="F550" s="420">
        <f>SUM(F547:F549)</f>
        <v>10591.98</v>
      </c>
      <c r="G550" s="4"/>
    </row>
    <row r="551" spans="1:7" ht="13.5" thickTop="1">
      <c r="A551" s="4"/>
      <c r="B551" s="384"/>
      <c r="C551" s="383"/>
      <c r="D551" s="384"/>
      <c r="E551" s="383"/>
      <c r="F551" s="383"/>
      <c r="G551" s="4"/>
    </row>
    <row r="552" spans="1:7" ht="13.5" thickBot="1">
      <c r="A552" s="4"/>
      <c r="B552" s="421" t="s">
        <v>428</v>
      </c>
      <c r="C552" s="422">
        <f>0.2*0.15</f>
        <v>0.03</v>
      </c>
      <c r="D552" s="456"/>
      <c r="E552" s="456"/>
      <c r="F552" s="457"/>
      <c r="G552" s="4"/>
    </row>
    <row r="553" spans="1:7" ht="13.5" thickTop="1">
      <c r="A553" s="4"/>
      <c r="B553" s="404" t="s">
        <v>177</v>
      </c>
      <c r="C553" s="405">
        <v>1.05</v>
      </c>
      <c r="D553" s="406" t="s">
        <v>7</v>
      </c>
      <c r="E553" s="407">
        <f>F50</f>
        <v>4962.82</v>
      </c>
      <c r="F553" s="449">
        <f>ROUND(C553*E553,2)</f>
        <v>5210.96</v>
      </c>
      <c r="G553" s="4"/>
    </row>
    <row r="554" spans="1:7" ht="12.75">
      <c r="A554" s="4"/>
      <c r="B554" s="408" t="s">
        <v>153</v>
      </c>
      <c r="C554" s="409">
        <v>3.89</v>
      </c>
      <c r="D554" s="410" t="s">
        <v>33</v>
      </c>
      <c r="E554" s="411">
        <f>F166</f>
        <v>2600.55</v>
      </c>
      <c r="F554" s="412">
        <f>ROUND(C554*E554,2)</f>
        <v>10116.14</v>
      </c>
      <c r="G554" s="4"/>
    </row>
    <row r="555" spans="1:7" ht="12.75">
      <c r="A555" s="4"/>
      <c r="B555" s="413" t="s">
        <v>431</v>
      </c>
      <c r="C555" s="414">
        <f>ROUND(1/C552,2)</f>
        <v>33.33</v>
      </c>
      <c r="D555" s="415" t="s">
        <v>20</v>
      </c>
      <c r="E555" s="416">
        <v>80.55</v>
      </c>
      <c r="F555" s="412">
        <f>ROUND(C555*E555,2)</f>
        <v>2684.73</v>
      </c>
      <c r="G555" s="4"/>
    </row>
    <row r="556" spans="1:7" ht="12.75">
      <c r="A556" s="4"/>
      <c r="B556" s="413" t="s">
        <v>178</v>
      </c>
      <c r="C556" s="414">
        <f>ROUND(1/C552,2)</f>
        <v>33.33</v>
      </c>
      <c r="D556" s="415" t="s">
        <v>20</v>
      </c>
      <c r="E556" s="416">
        <v>200</v>
      </c>
      <c r="F556" s="412">
        <f>ROUND(C556*E556,2)</f>
        <v>6666</v>
      </c>
      <c r="G556" s="4"/>
    </row>
    <row r="557" spans="1:7" ht="13.5" thickBot="1">
      <c r="A557" s="4"/>
      <c r="B557" s="458"/>
      <c r="C557" s="459"/>
      <c r="D557" s="459"/>
      <c r="E557" s="460" t="s">
        <v>176</v>
      </c>
      <c r="F557" s="461">
        <f>SUM(F553:F556)</f>
        <v>24677.83</v>
      </c>
      <c r="G557" s="4"/>
    </row>
    <row r="558" spans="1:7" ht="13.5" thickTop="1">
      <c r="A558" s="4"/>
      <c r="B558" s="384"/>
      <c r="C558" s="383"/>
      <c r="D558" s="384"/>
      <c r="E558" s="383"/>
      <c r="F558" s="383"/>
      <c r="G558" s="4"/>
    </row>
    <row r="559" spans="1:7" ht="13.5" thickBot="1">
      <c r="A559" s="4"/>
      <c r="B559" s="401" t="s">
        <v>432</v>
      </c>
      <c r="C559" s="383"/>
      <c r="D559" s="384"/>
      <c r="E559" s="383"/>
      <c r="F559" s="383"/>
      <c r="G559" s="4"/>
    </row>
    <row r="560" spans="1:7" ht="13.5" thickTop="1">
      <c r="A560" s="4"/>
      <c r="B560" s="404" t="s">
        <v>183</v>
      </c>
      <c r="C560" s="405">
        <v>1.05</v>
      </c>
      <c r="D560" s="406" t="s">
        <v>7</v>
      </c>
      <c r="E560" s="407">
        <f>F60</f>
        <v>4455.62</v>
      </c>
      <c r="F560" s="449">
        <f>ROUND(C560*E560,2)</f>
        <v>4678.4</v>
      </c>
      <c r="G560" s="4"/>
    </row>
    <row r="561" spans="1:7" ht="12.75">
      <c r="A561" s="4"/>
      <c r="B561" s="408" t="s">
        <v>153</v>
      </c>
      <c r="C561" s="409">
        <v>0.05</v>
      </c>
      <c r="D561" s="410" t="s">
        <v>33</v>
      </c>
      <c r="E561" s="411">
        <f>F172</f>
        <v>2745.66</v>
      </c>
      <c r="F561" s="412">
        <f>ROUND(C561*E561,2)</f>
        <v>137.28</v>
      </c>
      <c r="G561" s="4"/>
    </row>
    <row r="562" spans="1:7" ht="12.75">
      <c r="A562" s="4"/>
      <c r="B562" s="413" t="s">
        <v>178</v>
      </c>
      <c r="C562" s="414">
        <v>1</v>
      </c>
      <c r="D562" s="415" t="s">
        <v>6</v>
      </c>
      <c r="E562" s="416">
        <v>100</v>
      </c>
      <c r="F562" s="412">
        <f>ROUND(C562*E562,2)</f>
        <v>100</v>
      </c>
      <c r="G562" s="4"/>
    </row>
    <row r="563" spans="1:7" ht="13.5" thickBot="1">
      <c r="A563" s="4"/>
      <c r="B563" s="417"/>
      <c r="C563" s="418"/>
      <c r="D563" s="418"/>
      <c r="E563" s="419" t="s">
        <v>176</v>
      </c>
      <c r="F563" s="420">
        <f>SUM(F560:F561)</f>
        <v>4815.68</v>
      </c>
      <c r="G563" s="4"/>
    </row>
    <row r="564" spans="1:7" ht="13.5" thickTop="1">
      <c r="A564" s="4"/>
      <c r="B564" s="384"/>
      <c r="C564" s="383"/>
      <c r="D564" s="384"/>
      <c r="E564" s="383"/>
      <c r="F564" s="383"/>
      <c r="G564" s="4"/>
    </row>
    <row r="565" spans="1:7" ht="13.5" thickBot="1">
      <c r="A565" s="8"/>
      <c r="B565" s="381" t="s">
        <v>429</v>
      </c>
      <c r="C565" s="455"/>
      <c r="D565" s="385"/>
      <c r="E565" s="455"/>
      <c r="F565" s="455"/>
      <c r="G565" s="4"/>
    </row>
    <row r="566" spans="1:7" ht="13.5" thickTop="1">
      <c r="A566" s="8"/>
      <c r="B566" s="426" t="s">
        <v>183</v>
      </c>
      <c r="C566" s="427">
        <v>1.05</v>
      </c>
      <c r="D566" s="428" t="s">
        <v>7</v>
      </c>
      <c r="E566" s="429">
        <f>F60</f>
        <v>4455.62</v>
      </c>
      <c r="F566" s="485">
        <f>ROUND(C566*E566,2)</f>
        <v>4678.4</v>
      </c>
      <c r="G566" s="4"/>
    </row>
    <row r="567" spans="1:7" ht="12.75">
      <c r="A567" s="8"/>
      <c r="B567" s="430" t="s">
        <v>153</v>
      </c>
      <c r="C567" s="431">
        <v>0.89</v>
      </c>
      <c r="D567" s="432" t="s">
        <v>33</v>
      </c>
      <c r="E567" s="433">
        <f>F172</f>
        <v>2745.66</v>
      </c>
      <c r="F567" s="392">
        <f>ROUND(C567*E567,2)</f>
        <v>2443.64</v>
      </c>
      <c r="G567" s="4"/>
    </row>
    <row r="568" spans="1:7" ht="12.75">
      <c r="A568" s="8"/>
      <c r="B568" s="434" t="s">
        <v>178</v>
      </c>
      <c r="C568" s="435">
        <v>1</v>
      </c>
      <c r="D568" s="436" t="s">
        <v>6</v>
      </c>
      <c r="E568" s="437">
        <v>100</v>
      </c>
      <c r="F568" s="392">
        <f>ROUND(C568*E568,2)</f>
        <v>100</v>
      </c>
      <c r="G568" s="4"/>
    </row>
    <row r="569" spans="1:8" ht="13.5" thickBot="1">
      <c r="A569" s="8"/>
      <c r="B569" s="438"/>
      <c r="C569" s="439"/>
      <c r="D569" s="439"/>
      <c r="E569" s="440" t="s">
        <v>176</v>
      </c>
      <c r="F569" s="441">
        <f>SUM(F566:F567)</f>
        <v>7122.04</v>
      </c>
      <c r="G569" s="4"/>
      <c r="H569" s="3">
        <f>F569/10</f>
        <v>712.2</v>
      </c>
    </row>
    <row r="570" spans="1:7" ht="13.5" thickTop="1">
      <c r="A570" s="8"/>
      <c r="B570" s="385"/>
      <c r="C570" s="455"/>
      <c r="D570" s="385"/>
      <c r="E570" s="455"/>
      <c r="F570" s="455"/>
      <c r="G570" s="4"/>
    </row>
    <row r="571" spans="1:7" ht="13.5" thickBot="1">
      <c r="A571" s="8"/>
      <c r="B571" s="381" t="s">
        <v>433</v>
      </c>
      <c r="C571" s="387"/>
      <c r="D571" s="388"/>
      <c r="E571" s="455"/>
      <c r="F571" s="455"/>
      <c r="G571" s="4"/>
    </row>
    <row r="572" spans="1:7" ht="13.5" thickTop="1">
      <c r="A572" s="8"/>
      <c r="B572" s="426" t="s">
        <v>183</v>
      </c>
      <c r="C572" s="427">
        <v>1.05</v>
      </c>
      <c r="D572" s="428" t="s">
        <v>7</v>
      </c>
      <c r="E572" s="429">
        <f>F60</f>
        <v>4455.62</v>
      </c>
      <c r="F572" s="485">
        <f>ROUND(C572*E572,2)</f>
        <v>4678.4</v>
      </c>
      <c r="G572" s="4"/>
    </row>
    <row r="573" spans="1:7" ht="12.75">
      <c r="A573" s="8"/>
      <c r="B573" s="430" t="s">
        <v>153</v>
      </c>
      <c r="C573" s="431">
        <v>2.59</v>
      </c>
      <c r="D573" s="432" t="s">
        <v>33</v>
      </c>
      <c r="E573" s="433">
        <f>F172</f>
        <v>2745.66</v>
      </c>
      <c r="F573" s="392">
        <f>ROUND(C573*E573,2)</f>
        <v>7111.26</v>
      </c>
      <c r="G573" s="4"/>
    </row>
    <row r="574" spans="1:7" ht="12.75">
      <c r="A574" s="8"/>
      <c r="B574" s="434" t="s">
        <v>178</v>
      </c>
      <c r="C574" s="435">
        <v>1</v>
      </c>
      <c r="D574" s="436" t="s">
        <v>6</v>
      </c>
      <c r="E574" s="437">
        <v>100</v>
      </c>
      <c r="F574" s="392">
        <f>ROUND(C574*E574,2)</f>
        <v>100</v>
      </c>
      <c r="G574" s="4"/>
    </row>
    <row r="575" spans="1:7" ht="13.5" thickBot="1">
      <c r="A575" s="8"/>
      <c r="B575" s="438"/>
      <c r="C575" s="439"/>
      <c r="D575" s="439"/>
      <c r="E575" s="440" t="s">
        <v>176</v>
      </c>
      <c r="F575" s="441">
        <f>SUM(F572:F573)</f>
        <v>11789.66</v>
      </c>
      <c r="G575" s="4"/>
    </row>
    <row r="576" spans="1:11" ht="14.25" thickBot="1" thickTop="1">
      <c r="A576" s="8"/>
      <c r="B576" s="442" t="s">
        <v>434</v>
      </c>
      <c r="C576" s="443">
        <v>0.13</v>
      </c>
      <c r="D576" s="444" t="s">
        <v>7</v>
      </c>
      <c r="E576" s="443">
        <f>F575</f>
        <v>11789.66</v>
      </c>
      <c r="F576" s="445">
        <f>ROUND(C576*E576,2)</f>
        <v>1532.66</v>
      </c>
      <c r="G576" s="4"/>
      <c r="K576" s="16"/>
    </row>
    <row r="577" spans="1:11" ht="13.5" thickTop="1">
      <c r="A577" s="8"/>
      <c r="B577" s="385"/>
      <c r="C577" s="455"/>
      <c r="D577" s="385"/>
      <c r="E577" s="455"/>
      <c r="F577" s="455"/>
      <c r="G577" s="4"/>
      <c r="K577" s="16"/>
    </row>
    <row r="578" spans="1:11" ht="13.5" thickBot="1">
      <c r="A578" s="4"/>
      <c r="B578" s="421" t="s">
        <v>430</v>
      </c>
      <c r="C578" s="422">
        <f>0.2*0.15</f>
        <v>0.03</v>
      </c>
      <c r="D578" s="456"/>
      <c r="E578" s="456"/>
      <c r="F578" s="457"/>
      <c r="G578" s="4"/>
      <c r="K578" s="16"/>
    </row>
    <row r="579" spans="1:7" ht="13.5" thickTop="1">
      <c r="A579" s="4"/>
      <c r="B579" s="404" t="s">
        <v>177</v>
      </c>
      <c r="C579" s="405">
        <v>1.05</v>
      </c>
      <c r="D579" s="406" t="s">
        <v>7</v>
      </c>
      <c r="E579" s="407">
        <f>F50</f>
        <v>4962.82</v>
      </c>
      <c r="F579" s="449">
        <f>ROUND(C579*E579,2)</f>
        <v>5210.96</v>
      </c>
      <c r="G579" s="4"/>
    </row>
    <row r="580" spans="1:7" ht="12.75">
      <c r="A580" s="4"/>
      <c r="B580" s="408" t="s">
        <v>153</v>
      </c>
      <c r="C580" s="409">
        <v>4.58</v>
      </c>
      <c r="D580" s="410" t="s">
        <v>33</v>
      </c>
      <c r="E580" s="411">
        <f>F166</f>
        <v>2600.55</v>
      </c>
      <c r="F580" s="412">
        <f>ROUND(C580*E580,2)</f>
        <v>11910.52</v>
      </c>
      <c r="G580" s="4"/>
    </row>
    <row r="581" spans="1:7" ht="12.75">
      <c r="A581" s="4"/>
      <c r="B581" s="413" t="s">
        <v>431</v>
      </c>
      <c r="C581" s="414">
        <f>ROUND(1/C578,2)</f>
        <v>33.33</v>
      </c>
      <c r="D581" s="415" t="s">
        <v>20</v>
      </c>
      <c r="E581" s="416">
        <v>80.55</v>
      </c>
      <c r="F581" s="412">
        <f>ROUND(C581*E581,2)</f>
        <v>2684.73</v>
      </c>
      <c r="G581" s="4"/>
    </row>
    <row r="582" spans="1:7" ht="12.75">
      <c r="A582" s="4"/>
      <c r="B582" s="413" t="s">
        <v>178</v>
      </c>
      <c r="C582" s="414">
        <f>ROUND(1/C578,2)</f>
        <v>33.33</v>
      </c>
      <c r="D582" s="415" t="s">
        <v>20</v>
      </c>
      <c r="E582" s="416">
        <v>325</v>
      </c>
      <c r="F582" s="412">
        <f>ROUND(C582*E582,2)</f>
        <v>10832.25</v>
      </c>
      <c r="G582" s="4"/>
    </row>
    <row r="583" spans="1:7" ht="13.5" thickBot="1">
      <c r="A583" s="4"/>
      <c r="B583" s="417"/>
      <c r="C583" s="418"/>
      <c r="D583" s="418"/>
      <c r="E583" s="419" t="s">
        <v>176</v>
      </c>
      <c r="F583" s="420">
        <f>SUM(F579:F582)</f>
        <v>30638.46</v>
      </c>
      <c r="G583" s="4"/>
    </row>
    <row r="584" spans="1:7" ht="13.5" thickTop="1">
      <c r="A584" s="4"/>
      <c r="B584" s="384"/>
      <c r="C584" s="383"/>
      <c r="D584" s="384"/>
      <c r="E584" s="383"/>
      <c r="F584" s="383"/>
      <c r="G584" s="4"/>
    </row>
    <row r="585" spans="1:7" ht="13.5" thickBot="1">
      <c r="A585" s="4"/>
      <c r="B585" s="1393" t="s">
        <v>435</v>
      </c>
      <c r="C585" s="1393"/>
      <c r="D585" s="1393"/>
      <c r="E585" s="1393"/>
      <c r="F585" s="1393"/>
      <c r="G585" s="4"/>
    </row>
    <row r="586" spans="1:7" ht="13.5" thickTop="1">
      <c r="A586" s="4"/>
      <c r="B586" s="446" t="s">
        <v>438</v>
      </c>
      <c r="C586" s="447">
        <v>7</v>
      </c>
      <c r="D586" s="448" t="s">
        <v>124</v>
      </c>
      <c r="E586" s="447">
        <v>990</v>
      </c>
      <c r="F586" s="485">
        <f aca="true" t="shared" si="6" ref="F586:F595">ROUND(C586*E586,2)</f>
        <v>6930</v>
      </c>
      <c r="G586" s="4"/>
    </row>
    <row r="587" spans="1:7" ht="12.75">
      <c r="A587" s="4"/>
      <c r="B587" s="450" t="s">
        <v>436</v>
      </c>
      <c r="C587" s="390">
        <v>226</v>
      </c>
      <c r="D587" s="451" t="s">
        <v>64</v>
      </c>
      <c r="E587" s="390">
        <v>35</v>
      </c>
      <c r="F587" s="392">
        <f t="shared" si="6"/>
        <v>7910</v>
      </c>
      <c r="G587" s="4"/>
    </row>
    <row r="588" spans="1:7" ht="12.75">
      <c r="A588" s="4"/>
      <c r="B588" s="450" t="s">
        <v>437</v>
      </c>
      <c r="C588" s="390">
        <v>2</v>
      </c>
      <c r="D588" s="451" t="s">
        <v>124</v>
      </c>
      <c r="E588" s="390">
        <v>220</v>
      </c>
      <c r="F588" s="392">
        <f t="shared" si="6"/>
        <v>440</v>
      </c>
      <c r="G588" s="4"/>
    </row>
    <row r="589" spans="1:7" ht="12.75">
      <c r="A589" s="4"/>
      <c r="B589" s="450" t="s">
        <v>444</v>
      </c>
      <c r="C589" s="390">
        <v>4</v>
      </c>
      <c r="D589" s="451" t="s">
        <v>124</v>
      </c>
      <c r="E589" s="390">
        <v>1780</v>
      </c>
      <c r="F589" s="392">
        <f t="shared" si="6"/>
        <v>7120</v>
      </c>
      <c r="G589" s="4"/>
    </row>
    <row r="590" spans="1:7" ht="12.75">
      <c r="A590" s="4"/>
      <c r="B590" s="450" t="s">
        <v>439</v>
      </c>
      <c r="C590" s="390">
        <v>1</v>
      </c>
      <c r="D590" s="451" t="s">
        <v>124</v>
      </c>
      <c r="E590" s="390">
        <v>3700</v>
      </c>
      <c r="F590" s="392">
        <f t="shared" si="6"/>
        <v>3700</v>
      </c>
      <c r="G590" s="4"/>
    </row>
    <row r="591" spans="1:9" ht="12.75">
      <c r="A591" s="4"/>
      <c r="B591" s="450" t="s">
        <v>440</v>
      </c>
      <c r="C591" s="390">
        <v>3</v>
      </c>
      <c r="D591" s="451" t="s">
        <v>124</v>
      </c>
      <c r="E591" s="390">
        <v>1682.3</v>
      </c>
      <c r="F591" s="392">
        <f t="shared" si="6"/>
        <v>5046.9</v>
      </c>
      <c r="G591" s="4"/>
      <c r="I591" s="3">
        <v>1425.6</v>
      </c>
    </row>
    <row r="592" spans="1:9" ht="12.75">
      <c r="A592" s="4"/>
      <c r="B592" s="450" t="s">
        <v>445</v>
      </c>
      <c r="C592" s="390">
        <v>4</v>
      </c>
      <c r="D592" s="451" t="s">
        <v>124</v>
      </c>
      <c r="E592" s="390">
        <v>700</v>
      </c>
      <c r="F592" s="392">
        <f t="shared" si="6"/>
        <v>2800</v>
      </c>
      <c r="G592" s="4"/>
      <c r="I592" s="3">
        <f>I591*1.18</f>
        <v>1682.2</v>
      </c>
    </row>
    <row r="593" spans="1:7" ht="12.75">
      <c r="A593" s="4"/>
      <c r="B593" s="450" t="s">
        <v>443</v>
      </c>
      <c r="C593" s="390">
        <v>9</v>
      </c>
      <c r="D593" s="451" t="s">
        <v>423</v>
      </c>
      <c r="E593" s="390">
        <v>80</v>
      </c>
      <c r="F593" s="392">
        <f t="shared" si="6"/>
        <v>720</v>
      </c>
      <c r="G593" s="4"/>
    </row>
    <row r="594" spans="1:7" ht="25.5">
      <c r="A594" s="4"/>
      <c r="B594" s="452" t="s">
        <v>441</v>
      </c>
      <c r="C594" s="453">
        <v>1</v>
      </c>
      <c r="D594" s="454" t="s">
        <v>6</v>
      </c>
      <c r="E594" s="453">
        <v>3500</v>
      </c>
      <c r="F594" s="483">
        <f t="shared" si="6"/>
        <v>3500</v>
      </c>
      <c r="G594" s="399"/>
    </row>
    <row r="595" spans="1:7" ht="12.75" customHeight="1">
      <c r="A595" s="4"/>
      <c r="B595" s="450" t="s">
        <v>442</v>
      </c>
      <c r="C595" s="390">
        <v>1</v>
      </c>
      <c r="D595" s="451" t="s">
        <v>124</v>
      </c>
      <c r="E595" s="390">
        <v>15000</v>
      </c>
      <c r="F595" s="392">
        <f t="shared" si="6"/>
        <v>15000</v>
      </c>
      <c r="G595" s="4"/>
    </row>
    <row r="596" spans="1:7" ht="12.75" customHeight="1" thickBot="1">
      <c r="A596" s="4"/>
      <c r="B596" s="486"/>
      <c r="C596" s="487"/>
      <c r="D596" s="488"/>
      <c r="E596" s="487"/>
      <c r="F596" s="489">
        <f>SUM(F586:F595)</f>
        <v>53166.9</v>
      </c>
      <c r="G596" s="4"/>
    </row>
    <row r="597" spans="2:6" ht="12.75" customHeight="1" thickTop="1">
      <c r="B597" s="8"/>
      <c r="C597" s="368"/>
      <c r="D597" s="385"/>
      <c r="E597" s="368"/>
      <c r="F597" s="368"/>
    </row>
    <row r="598" spans="2:9" ht="12.75" customHeight="1" thickBot="1">
      <c r="B598" s="373" t="s">
        <v>446</v>
      </c>
      <c r="C598" s="368">
        <f>(2.7*4)*10.76</f>
        <v>116.21</v>
      </c>
      <c r="D598" s="386" t="s">
        <v>64</v>
      </c>
      <c r="E598" s="368"/>
      <c r="F598" s="368"/>
      <c r="I598" s="3">
        <v>977.1</v>
      </c>
    </row>
    <row r="599" spans="2:9" ht="12.75" customHeight="1" thickTop="1">
      <c r="B599" s="490" t="s">
        <v>447</v>
      </c>
      <c r="C599" s="447">
        <v>6</v>
      </c>
      <c r="D599" s="491" t="s">
        <v>124</v>
      </c>
      <c r="E599" s="447">
        <v>1682.3</v>
      </c>
      <c r="F599" s="449">
        <f aca="true" t="shared" si="7" ref="F599:F605">ROUND(C599*E599,2)</f>
        <v>10093.8</v>
      </c>
      <c r="I599" s="3">
        <f>I598*1.18</f>
        <v>1153</v>
      </c>
    </row>
    <row r="600" spans="2:6" ht="12.75" customHeight="1">
      <c r="B600" s="389" t="s">
        <v>448</v>
      </c>
      <c r="C600" s="390">
        <v>4</v>
      </c>
      <c r="D600" s="393" t="s">
        <v>124</v>
      </c>
      <c r="E600" s="390">
        <v>1200</v>
      </c>
      <c r="F600" s="412">
        <f t="shared" si="7"/>
        <v>4800</v>
      </c>
    </row>
    <row r="601" spans="2:6" ht="12.75" customHeight="1">
      <c r="B601" s="389" t="s">
        <v>449</v>
      </c>
      <c r="C601" s="390">
        <v>1</v>
      </c>
      <c r="D601" s="393" t="s">
        <v>124</v>
      </c>
      <c r="E601" s="390">
        <v>130</v>
      </c>
      <c r="F601" s="412">
        <f t="shared" si="7"/>
        <v>130</v>
      </c>
    </row>
    <row r="602" spans="2:6" ht="12.75" customHeight="1">
      <c r="B602" s="389" t="s">
        <v>450</v>
      </c>
      <c r="C602" s="390">
        <v>6</v>
      </c>
      <c r="D602" s="393" t="s">
        <v>124</v>
      </c>
      <c r="E602" s="390">
        <v>31</v>
      </c>
      <c r="F602" s="412">
        <f t="shared" si="7"/>
        <v>186</v>
      </c>
    </row>
    <row r="603" spans="2:6" ht="12.75" customHeight="1">
      <c r="B603" s="389" t="s">
        <v>451</v>
      </c>
      <c r="C603" s="390">
        <v>1</v>
      </c>
      <c r="D603" s="393" t="s">
        <v>124</v>
      </c>
      <c r="E603" s="390">
        <v>140</v>
      </c>
      <c r="F603" s="412">
        <f t="shared" si="7"/>
        <v>140</v>
      </c>
    </row>
    <row r="604" spans="2:6" ht="12.75" customHeight="1">
      <c r="B604" s="389" t="s">
        <v>452</v>
      </c>
      <c r="C604" s="390">
        <v>1</v>
      </c>
      <c r="D604" s="393" t="s">
        <v>6</v>
      </c>
      <c r="E604" s="390">
        <v>2500</v>
      </c>
      <c r="F604" s="412">
        <f t="shared" si="7"/>
        <v>2500</v>
      </c>
    </row>
    <row r="605" spans="2:6" ht="12.75" customHeight="1">
      <c r="B605" s="450" t="s">
        <v>442</v>
      </c>
      <c r="C605" s="390">
        <v>1</v>
      </c>
      <c r="D605" s="393" t="s">
        <v>124</v>
      </c>
      <c r="E605" s="390">
        <v>8500</v>
      </c>
      <c r="F605" s="412">
        <f t="shared" si="7"/>
        <v>8500</v>
      </c>
    </row>
    <row r="606" spans="2:9" ht="12.75" customHeight="1">
      <c r="B606" s="492"/>
      <c r="C606" s="493"/>
      <c r="D606" s="494"/>
      <c r="E606" s="495" t="s">
        <v>453</v>
      </c>
      <c r="F606" s="496">
        <f>SUM(F599:F605)</f>
        <v>26349.8</v>
      </c>
      <c r="I606" s="371"/>
    </row>
    <row r="607" spans="2:9" ht="12.75" customHeight="1" thickBot="1">
      <c r="B607" s="394"/>
      <c r="C607" s="395"/>
      <c r="D607" s="396"/>
      <c r="E607" s="397" t="s">
        <v>454</v>
      </c>
      <c r="F607" s="497">
        <f>F606/C598</f>
        <v>226.74</v>
      </c>
      <c r="I607" s="371"/>
    </row>
    <row r="608" spans="2:6" ht="12.75" customHeight="1" thickTop="1">
      <c r="B608" s="8"/>
      <c r="C608" s="368"/>
      <c r="D608" s="385"/>
      <c r="E608" s="368"/>
      <c r="F608" s="368"/>
    </row>
    <row r="609" spans="2:6" ht="12.75" customHeight="1">
      <c r="B609" s="8"/>
      <c r="C609" s="368"/>
      <c r="D609" s="385"/>
      <c r="E609" s="368"/>
      <c r="F609" s="368"/>
    </row>
    <row r="610" spans="2:6" ht="12.75" customHeight="1" thickBot="1">
      <c r="B610" s="373" t="s">
        <v>455</v>
      </c>
      <c r="C610" s="368">
        <f>(2.1*0.9)*10.76</f>
        <v>20.34</v>
      </c>
      <c r="D610" s="386" t="s">
        <v>64</v>
      </c>
      <c r="E610" s="368"/>
      <c r="F610" s="368"/>
    </row>
    <row r="611" spans="2:6" ht="12.75" customHeight="1" thickTop="1">
      <c r="B611" s="490" t="s">
        <v>447</v>
      </c>
      <c r="C611" s="447">
        <v>3</v>
      </c>
      <c r="D611" s="491" t="s">
        <v>124</v>
      </c>
      <c r="E611" s="447">
        <v>1682.3</v>
      </c>
      <c r="F611" s="449">
        <f aca="true" t="shared" si="8" ref="F611:F617">ROUND(C611*E611,2)</f>
        <v>5046.9</v>
      </c>
    </row>
    <row r="612" spans="2:6" ht="12.75">
      <c r="B612" s="389" t="s">
        <v>456</v>
      </c>
      <c r="C612" s="390">
        <v>2</v>
      </c>
      <c r="D612" s="393" t="s">
        <v>124</v>
      </c>
      <c r="E612" s="390">
        <v>475</v>
      </c>
      <c r="F612" s="412">
        <f t="shared" si="8"/>
        <v>950</v>
      </c>
    </row>
    <row r="613" spans="2:10" ht="12.75">
      <c r="B613" s="389" t="s">
        <v>457</v>
      </c>
      <c r="C613" s="390">
        <v>1</v>
      </c>
      <c r="D613" s="393" t="s">
        <v>124</v>
      </c>
      <c r="E613" s="390">
        <v>1900</v>
      </c>
      <c r="F613" s="412">
        <f t="shared" si="8"/>
        <v>1900</v>
      </c>
      <c r="I613" s="3">
        <v>1624.9</v>
      </c>
      <c r="J613" s="3">
        <f>I613/3.28</f>
        <v>495.4</v>
      </c>
    </row>
    <row r="614" spans="2:6" ht="12.75">
      <c r="B614" s="389" t="s">
        <v>449</v>
      </c>
      <c r="C614" s="390">
        <v>1</v>
      </c>
      <c r="D614" s="393" t="s">
        <v>124</v>
      </c>
      <c r="E614" s="390">
        <v>130</v>
      </c>
      <c r="F614" s="412">
        <f t="shared" si="8"/>
        <v>130</v>
      </c>
    </row>
    <row r="615" spans="2:9" ht="12.75">
      <c r="B615" s="389" t="s">
        <v>450</v>
      </c>
      <c r="C615" s="390">
        <v>4</v>
      </c>
      <c r="D615" s="393" t="s">
        <v>124</v>
      </c>
      <c r="E615" s="390">
        <v>31</v>
      </c>
      <c r="F615" s="412">
        <f t="shared" si="8"/>
        <v>124</v>
      </c>
      <c r="H615" s="3">
        <v>3</v>
      </c>
      <c r="I615" s="3">
        <v>90</v>
      </c>
    </row>
    <row r="616" spans="2:9" ht="12.75">
      <c r="B616" s="389" t="s">
        <v>452</v>
      </c>
      <c r="C616" s="390">
        <v>1</v>
      </c>
      <c r="D616" s="393" t="s">
        <v>6</v>
      </c>
      <c r="E616" s="390">
        <v>2000</v>
      </c>
      <c r="F616" s="412">
        <f t="shared" si="8"/>
        <v>2000</v>
      </c>
      <c r="I616" s="3">
        <v>120</v>
      </c>
    </row>
    <row r="617" spans="2:9" ht="12.75">
      <c r="B617" s="450" t="s">
        <v>442</v>
      </c>
      <c r="C617" s="390">
        <v>1</v>
      </c>
      <c r="D617" s="393" t="s">
        <v>124</v>
      </c>
      <c r="E617" s="390">
        <v>5000</v>
      </c>
      <c r="F617" s="412">
        <f t="shared" si="8"/>
        <v>5000</v>
      </c>
      <c r="I617" s="3">
        <v>500</v>
      </c>
    </row>
    <row r="618" spans="2:6" ht="13.5" thickBot="1">
      <c r="B618" s="394"/>
      <c r="C618" s="395"/>
      <c r="D618" s="396"/>
      <c r="E618" s="495" t="s">
        <v>453</v>
      </c>
      <c r="F618" s="489">
        <f>SUM(F611:F617)</f>
        <v>15150.9</v>
      </c>
    </row>
    <row r="619" spans="2:6" ht="14.25" thickBot="1" thickTop="1">
      <c r="B619" s="394"/>
      <c r="C619" s="395"/>
      <c r="D619" s="396"/>
      <c r="E619" s="397" t="s">
        <v>454</v>
      </c>
      <c r="F619" s="497">
        <f>F618/C610</f>
        <v>744.88</v>
      </c>
    </row>
    <row r="620" spans="2:6" ht="13.5" thickTop="1">
      <c r="B620" s="8"/>
      <c r="C620" s="368"/>
      <c r="D620" s="385"/>
      <c r="E620" s="368"/>
      <c r="F620" s="368"/>
    </row>
    <row r="621" spans="2:6" ht="13.5" thickBot="1">
      <c r="B621" s="1393" t="s">
        <v>458</v>
      </c>
      <c r="C621" s="1393"/>
      <c r="D621" s="1393"/>
      <c r="E621" s="1393"/>
      <c r="F621" s="1393"/>
    </row>
    <row r="622" spans="2:6" ht="13.5" thickTop="1">
      <c r="B622" s="8"/>
      <c r="C622" s="368"/>
      <c r="D622" s="385"/>
      <c r="E622" s="368"/>
      <c r="F622" s="368"/>
    </row>
    <row r="623" spans="2:6" ht="13.5" thickBot="1">
      <c r="B623" s="401" t="s">
        <v>460</v>
      </c>
      <c r="C623" s="402"/>
      <c r="D623" s="403"/>
      <c r="E623" s="402"/>
      <c r="F623" s="402"/>
    </row>
    <row r="624" spans="2:6" ht="13.5" thickTop="1">
      <c r="B624" s="404" t="s">
        <v>183</v>
      </c>
      <c r="C624" s="405">
        <v>1.05</v>
      </c>
      <c r="D624" s="406" t="s">
        <v>7</v>
      </c>
      <c r="E624" s="407">
        <f>F60</f>
        <v>4455.62</v>
      </c>
      <c r="F624" s="449">
        <f>ROUND(C624*E624,2)</f>
        <v>4678.4</v>
      </c>
    </row>
    <row r="625" spans="2:6" ht="12.75">
      <c r="B625" s="408" t="s">
        <v>153</v>
      </c>
      <c r="C625" s="409">
        <v>0.79</v>
      </c>
      <c r="D625" s="410" t="s">
        <v>33</v>
      </c>
      <c r="E625" s="411">
        <f>F166</f>
        <v>2600.55</v>
      </c>
      <c r="F625" s="412">
        <f>ROUND(C625*E625,2)</f>
        <v>2054.43</v>
      </c>
    </row>
    <row r="626" spans="2:6" ht="12.75">
      <c r="B626" s="413" t="s">
        <v>431</v>
      </c>
      <c r="C626" s="414">
        <v>8.9</v>
      </c>
      <c r="D626" s="415" t="s">
        <v>20</v>
      </c>
      <c r="E626" s="416">
        <v>80.55</v>
      </c>
      <c r="F626" s="412">
        <f>ROUND(C626*E626,2)</f>
        <v>716.9</v>
      </c>
    </row>
    <row r="627" spans="2:6" ht="13.5" thickBot="1">
      <c r="B627" s="417"/>
      <c r="C627" s="418"/>
      <c r="D627" s="418"/>
      <c r="E627" s="419" t="s">
        <v>176</v>
      </c>
      <c r="F627" s="420">
        <f>SUM(F624:F625)</f>
        <v>6732.83</v>
      </c>
    </row>
    <row r="628" spans="2:6" ht="13.5" thickTop="1">
      <c r="B628" s="8"/>
      <c r="C628" s="368"/>
      <c r="D628" s="385"/>
      <c r="E628" s="368"/>
      <c r="F628" s="368"/>
    </row>
    <row r="629" spans="2:6" ht="13.5" thickBot="1">
      <c r="B629" s="421" t="s">
        <v>459</v>
      </c>
      <c r="C629" s="422">
        <f>0.2*0.2</f>
        <v>0.04</v>
      </c>
      <c r="D629" s="423"/>
      <c r="E629" s="423"/>
      <c r="F629" s="424"/>
    </row>
    <row r="630" spans="2:6" ht="13.5" thickTop="1">
      <c r="B630" s="404" t="s">
        <v>177</v>
      </c>
      <c r="C630" s="405">
        <v>1.05</v>
      </c>
      <c r="D630" s="406" t="s">
        <v>7</v>
      </c>
      <c r="E630" s="407">
        <f>F50</f>
        <v>4962.82</v>
      </c>
      <c r="F630" s="449">
        <f>ROUND(C630*E630,2)</f>
        <v>5210.96</v>
      </c>
    </row>
    <row r="631" spans="2:6" ht="12.75">
      <c r="B631" s="408" t="s">
        <v>153</v>
      </c>
      <c r="C631" s="409">
        <v>4.58</v>
      </c>
      <c r="D631" s="410" t="s">
        <v>33</v>
      </c>
      <c r="E631" s="411">
        <f>F166</f>
        <v>2600.55</v>
      </c>
      <c r="F631" s="412">
        <f>ROUND(C631*E631,2)</f>
        <v>11910.52</v>
      </c>
    </row>
    <row r="632" spans="2:6" ht="12.75">
      <c r="B632" s="413" t="s">
        <v>431</v>
      </c>
      <c r="C632" s="414">
        <f>ROUND(1/C629,2)</f>
        <v>25</v>
      </c>
      <c r="D632" s="415" t="s">
        <v>20</v>
      </c>
      <c r="E632" s="416">
        <v>80.55</v>
      </c>
      <c r="F632" s="412">
        <f>ROUND(C632*E632,2)</f>
        <v>2013.75</v>
      </c>
    </row>
    <row r="633" spans="2:6" ht="12.75">
      <c r="B633" s="413" t="s">
        <v>178</v>
      </c>
      <c r="C633" s="414">
        <f>ROUND(1/C629,2)</f>
        <v>25</v>
      </c>
      <c r="D633" s="415" t="s">
        <v>20</v>
      </c>
      <c r="E633" s="416">
        <v>325</v>
      </c>
      <c r="F633" s="412">
        <f>ROUND(C633*E633,2)</f>
        <v>8125</v>
      </c>
    </row>
    <row r="634" spans="2:6" ht="13.5" thickBot="1">
      <c r="B634" s="417"/>
      <c r="C634" s="418"/>
      <c r="D634" s="418"/>
      <c r="E634" s="419" t="s">
        <v>176</v>
      </c>
      <c r="F634" s="420">
        <f>SUM(F630:F633)</f>
        <v>27260.23</v>
      </c>
    </row>
    <row r="635" spans="2:6" ht="13.5" thickTop="1">
      <c r="B635" s="8"/>
      <c r="C635" s="368"/>
      <c r="D635" s="385"/>
      <c r="E635" s="368"/>
      <c r="F635" s="368"/>
    </row>
    <row r="636" spans="2:6" ht="12.75">
      <c r="B636" s="8"/>
      <c r="C636" s="368"/>
      <c r="D636" s="385"/>
      <c r="E636" s="368"/>
      <c r="F636" s="368"/>
    </row>
    <row r="637" spans="2:6" ht="13.5" thickBot="1">
      <c r="B637" s="421" t="s">
        <v>461</v>
      </c>
      <c r="C637" s="422">
        <f>0.2*0.25</f>
        <v>0.05</v>
      </c>
      <c r="D637" s="423"/>
      <c r="E637" s="423"/>
      <c r="F637" s="424"/>
    </row>
    <row r="638" spans="2:6" ht="13.5" thickTop="1">
      <c r="B638" s="404" t="s">
        <v>177</v>
      </c>
      <c r="C638" s="405">
        <v>1.05</v>
      </c>
      <c r="D638" s="406" t="s">
        <v>7</v>
      </c>
      <c r="E638" s="407">
        <f>F50</f>
        <v>4962.82</v>
      </c>
      <c r="F638" s="449">
        <f>ROUND(C638*E638,2)</f>
        <v>5210.96</v>
      </c>
    </row>
    <row r="639" spans="2:6" ht="12.75">
      <c r="B639" s="408" t="s">
        <v>153</v>
      </c>
      <c r="C639" s="409">
        <v>11.14</v>
      </c>
      <c r="D639" s="410" t="s">
        <v>33</v>
      </c>
      <c r="E639" s="411">
        <f>F166</f>
        <v>2600.55</v>
      </c>
      <c r="F639" s="412">
        <f>ROUND(C639*E639,2)</f>
        <v>28970.13</v>
      </c>
    </row>
    <row r="640" spans="2:6" ht="12.75">
      <c r="B640" s="413" t="s">
        <v>431</v>
      </c>
      <c r="C640" s="414">
        <v>20</v>
      </c>
      <c r="D640" s="415" t="s">
        <v>20</v>
      </c>
      <c r="E640" s="416">
        <v>80.55</v>
      </c>
      <c r="F640" s="412">
        <f>ROUND(C640*E640,2)</f>
        <v>1611</v>
      </c>
    </row>
    <row r="641" spans="2:6" ht="12.75">
      <c r="B641" s="413" t="s">
        <v>178</v>
      </c>
      <c r="C641" s="414">
        <f>ROUND(1/C637,2)</f>
        <v>20</v>
      </c>
      <c r="D641" s="415" t="s">
        <v>20</v>
      </c>
      <c r="E641" s="416">
        <v>250</v>
      </c>
      <c r="F641" s="412">
        <f>ROUND(C641*E641,2)</f>
        <v>5000</v>
      </c>
    </row>
    <row r="642" spans="2:6" ht="13.5" thickBot="1">
      <c r="B642" s="417"/>
      <c r="C642" s="418"/>
      <c r="D642" s="418"/>
      <c r="E642" s="419" t="s">
        <v>176</v>
      </c>
      <c r="F642" s="420">
        <f>SUM(F638:F641)</f>
        <v>40792.09</v>
      </c>
    </row>
    <row r="643" spans="2:6" ht="13.5" thickTop="1">
      <c r="B643" s="8"/>
      <c r="C643" s="368"/>
      <c r="D643" s="385"/>
      <c r="E643" s="368"/>
      <c r="F643" s="368"/>
    </row>
    <row r="644" spans="2:6" ht="13.5" thickBot="1">
      <c r="B644" s="421" t="s">
        <v>462</v>
      </c>
      <c r="C644" s="422">
        <f>0.2*0.15</f>
        <v>0.03</v>
      </c>
      <c r="D644" s="423"/>
      <c r="E644" s="423"/>
      <c r="F644" s="424"/>
    </row>
    <row r="645" spans="2:6" ht="13.5" thickTop="1">
      <c r="B645" s="404" t="s">
        <v>177</v>
      </c>
      <c r="C645" s="405">
        <v>1.05</v>
      </c>
      <c r="D645" s="406" t="s">
        <v>7</v>
      </c>
      <c r="E645" s="407">
        <f>F50</f>
        <v>4962.82</v>
      </c>
      <c r="F645" s="449">
        <f>ROUND(C645*E645,2)</f>
        <v>5210.96</v>
      </c>
    </row>
    <row r="646" spans="2:6" ht="12.75">
      <c r="B646" s="408" t="s">
        <v>153</v>
      </c>
      <c r="C646" s="409">
        <v>5</v>
      </c>
      <c r="D646" s="410" t="s">
        <v>33</v>
      </c>
      <c r="E646" s="411">
        <f>F166</f>
        <v>2600.55</v>
      </c>
      <c r="F646" s="412">
        <f>ROUND(C646*E646,2)</f>
        <v>13002.75</v>
      </c>
    </row>
    <row r="647" spans="2:6" ht="12.75">
      <c r="B647" s="413" t="s">
        <v>431</v>
      </c>
      <c r="C647" s="414">
        <f>ROUND(1/C644,2)</f>
        <v>33.33</v>
      </c>
      <c r="D647" s="415" t="s">
        <v>20</v>
      </c>
      <c r="E647" s="416">
        <v>80.55</v>
      </c>
      <c r="F647" s="412">
        <f>ROUND(C647*E647,2)</f>
        <v>2684.73</v>
      </c>
    </row>
    <row r="648" spans="2:6" ht="12.75">
      <c r="B648" s="413" t="s">
        <v>178</v>
      </c>
      <c r="C648" s="414">
        <f>ROUND(1/C644,2)</f>
        <v>33.33</v>
      </c>
      <c r="D648" s="415" t="s">
        <v>20</v>
      </c>
      <c r="E648" s="416">
        <v>200</v>
      </c>
      <c r="F648" s="412">
        <f>ROUND(C648*E648,2)</f>
        <v>6666</v>
      </c>
    </row>
    <row r="649" spans="2:6" ht="13.5" thickBot="1">
      <c r="B649" s="417"/>
      <c r="C649" s="418"/>
      <c r="D649" s="418"/>
      <c r="E649" s="419" t="s">
        <v>176</v>
      </c>
      <c r="F649" s="420">
        <f>SUM(F645:F648)</f>
        <v>27564.44</v>
      </c>
    </row>
    <row r="650" spans="2:9" ht="13.5" thickTop="1">
      <c r="B650" s="8"/>
      <c r="C650" s="368"/>
      <c r="D650" s="385"/>
      <c r="E650" s="368"/>
      <c r="F650" s="368"/>
      <c r="I650" s="3">
        <v>3312378.6</v>
      </c>
    </row>
    <row r="651" spans="2:9" ht="13.5" thickBot="1">
      <c r="B651" s="425" t="s">
        <v>463</v>
      </c>
      <c r="C651" s="422">
        <v>0.13</v>
      </c>
      <c r="D651" s="423"/>
      <c r="E651" s="423"/>
      <c r="F651" s="424"/>
      <c r="I651" s="468">
        <v>2845825.1</v>
      </c>
    </row>
    <row r="652" spans="2:6" ht="13.5" thickTop="1">
      <c r="B652" s="404" t="s">
        <v>183</v>
      </c>
      <c r="C652" s="405">
        <v>1.05</v>
      </c>
      <c r="D652" s="406" t="s">
        <v>7</v>
      </c>
      <c r="E652" s="407">
        <f>F60</f>
        <v>4455.62</v>
      </c>
      <c r="F652" s="449">
        <f>ROUND(C652*E652,2)</f>
        <v>4678.4</v>
      </c>
    </row>
    <row r="653" spans="2:9" ht="12.75">
      <c r="B653" s="408" t="s">
        <v>153</v>
      </c>
      <c r="C653" s="409">
        <v>1.05</v>
      </c>
      <c r="D653" s="410" t="s">
        <v>33</v>
      </c>
      <c r="E653" s="411">
        <f>F172</f>
        <v>2745.66</v>
      </c>
      <c r="F653" s="412">
        <f>ROUND(C653*E653,2)</f>
        <v>2882.94</v>
      </c>
      <c r="I653" s="371">
        <f>I650-I651</f>
        <v>466553.5</v>
      </c>
    </row>
    <row r="654" spans="2:6" ht="12.75">
      <c r="B654" s="413" t="s">
        <v>178</v>
      </c>
      <c r="C654" s="414">
        <f>ROUND(1/C651,2)</f>
        <v>7.69</v>
      </c>
      <c r="D654" s="415" t="s">
        <v>20</v>
      </c>
      <c r="E654" s="416">
        <v>185</v>
      </c>
      <c r="F654" s="412">
        <f>ROUND(C654*E654,2)</f>
        <v>1422.65</v>
      </c>
    </row>
    <row r="655" spans="2:6" ht="13.5" thickBot="1">
      <c r="B655" s="417"/>
      <c r="C655" s="418"/>
      <c r="D655" s="418"/>
      <c r="E655" s="419" t="s">
        <v>176</v>
      </c>
      <c r="F655" s="420">
        <f>SUM(F652:F654)</f>
        <v>8983.99</v>
      </c>
    </row>
    <row r="656" spans="2:6" ht="13.5" thickTop="1">
      <c r="B656" s="8"/>
      <c r="C656" s="368"/>
      <c r="D656" s="385"/>
      <c r="E656" s="368"/>
      <c r="F656" s="368"/>
    </row>
    <row r="657" spans="2:6" ht="13.5" thickBot="1">
      <c r="B657" s="474" t="s">
        <v>465</v>
      </c>
      <c r="C657" s="387"/>
      <c r="D657" s="388"/>
      <c r="E657" s="387"/>
      <c r="F657" s="387"/>
    </row>
    <row r="658" spans="2:6" ht="13.5" thickTop="1">
      <c r="B658" s="426" t="s">
        <v>183</v>
      </c>
      <c r="C658" s="427">
        <v>1.05</v>
      </c>
      <c r="D658" s="428" t="s">
        <v>7</v>
      </c>
      <c r="E658" s="429">
        <f>F60</f>
        <v>4455.62</v>
      </c>
      <c r="F658" s="485">
        <f>ROUND(C658*E658,2)</f>
        <v>4678.4</v>
      </c>
    </row>
    <row r="659" spans="2:6" ht="12.75">
      <c r="B659" s="430" t="s">
        <v>153</v>
      </c>
      <c r="C659" s="431">
        <v>0.63</v>
      </c>
      <c r="D659" s="432" t="s">
        <v>33</v>
      </c>
      <c r="E659" s="433">
        <f>F172</f>
        <v>2745.66</v>
      </c>
      <c r="F659" s="392">
        <f>ROUND(C659*E659,2)</f>
        <v>1729.77</v>
      </c>
    </row>
    <row r="660" spans="2:6" ht="12.75">
      <c r="B660" s="434" t="s">
        <v>178</v>
      </c>
      <c r="C660" s="435">
        <v>1</v>
      </c>
      <c r="D660" s="436" t="s">
        <v>6</v>
      </c>
      <c r="E660" s="437">
        <v>100</v>
      </c>
      <c r="F660" s="392">
        <f>ROUND(C660*E660,2)</f>
        <v>100</v>
      </c>
    </row>
    <row r="661" spans="2:6" ht="13.5" thickBot="1">
      <c r="B661" s="438"/>
      <c r="C661" s="439"/>
      <c r="D661" s="439"/>
      <c r="E661" s="440" t="s">
        <v>176</v>
      </c>
      <c r="F661" s="441">
        <f>SUM(F658:F659)</f>
        <v>6408.17</v>
      </c>
    </row>
    <row r="662" spans="2:6" ht="13.5" thickTop="1">
      <c r="B662" s="470"/>
      <c r="C662" s="471"/>
      <c r="D662" s="472"/>
      <c r="E662" s="471"/>
      <c r="F662" s="473"/>
    </row>
    <row r="663" spans="2:6" ht="12.75" customHeight="1">
      <c r="B663" s="1390" t="s">
        <v>466</v>
      </c>
      <c r="C663" s="1390"/>
      <c r="D663" s="1390"/>
      <c r="E663" s="1390"/>
      <c r="F663" s="1390"/>
    </row>
    <row r="664" spans="2:6" ht="12.75">
      <c r="B664" s="8"/>
      <c r="C664" s="368"/>
      <c r="D664" s="385"/>
      <c r="E664" s="368"/>
      <c r="F664" s="368"/>
    </row>
    <row r="665" spans="2:6" ht="13.5" thickBot="1">
      <c r="B665" s="381" t="s">
        <v>467</v>
      </c>
      <c r="C665" s="387"/>
      <c r="D665" s="388"/>
      <c r="E665" s="387"/>
      <c r="F665" s="387"/>
    </row>
    <row r="666" spans="2:6" ht="13.5" thickTop="1">
      <c r="B666" s="426" t="s">
        <v>183</v>
      </c>
      <c r="C666" s="427">
        <v>1.05</v>
      </c>
      <c r="D666" s="480" t="s">
        <v>7</v>
      </c>
      <c r="E666" s="429">
        <f>F60</f>
        <v>4455.62</v>
      </c>
      <c r="F666" s="485">
        <f>ROUND(C666*E666,2)</f>
        <v>4678.4</v>
      </c>
    </row>
    <row r="667" spans="2:6" ht="12.75">
      <c r="B667" s="430" t="s">
        <v>153</v>
      </c>
      <c r="C667" s="431">
        <v>1.36</v>
      </c>
      <c r="D667" s="481" t="s">
        <v>33</v>
      </c>
      <c r="E667" s="433">
        <f>F172</f>
        <v>2745.66</v>
      </c>
      <c r="F667" s="392">
        <f>ROUND(C667*E667,2)</f>
        <v>3734.1</v>
      </c>
    </row>
    <row r="668" spans="2:6" ht="13.5" thickBot="1">
      <c r="B668" s="438"/>
      <c r="C668" s="439"/>
      <c r="D668" s="439"/>
      <c r="E668" s="440" t="s">
        <v>176</v>
      </c>
      <c r="F668" s="441">
        <f>SUM(F666:F667)</f>
        <v>8412.5</v>
      </c>
    </row>
    <row r="669" spans="2:6" ht="13.5" thickTop="1">
      <c r="B669" s="8"/>
      <c r="C669" s="368"/>
      <c r="D669" s="385"/>
      <c r="E669" s="368"/>
      <c r="F669" s="368"/>
    </row>
    <row r="670" spans="2:6" ht="13.5" thickBot="1">
      <c r="B670" s="476" t="s">
        <v>468</v>
      </c>
      <c r="C670" s="477">
        <v>0.2</v>
      </c>
      <c r="D670" s="478"/>
      <c r="E670" s="478"/>
      <c r="F670" s="479"/>
    </row>
    <row r="671" spans="2:6" ht="13.5" thickTop="1">
      <c r="B671" s="426" t="s">
        <v>183</v>
      </c>
      <c r="C671" s="427">
        <v>1.05</v>
      </c>
      <c r="D671" s="480" t="s">
        <v>7</v>
      </c>
      <c r="E671" s="429">
        <f>F60</f>
        <v>4455.62</v>
      </c>
      <c r="F671" s="485">
        <f>ROUND(C671*E671,2)</f>
        <v>4678.4</v>
      </c>
    </row>
    <row r="672" spans="2:6" ht="12.75">
      <c r="B672" s="430" t="s">
        <v>153</v>
      </c>
      <c r="C672" s="431">
        <v>3.93</v>
      </c>
      <c r="D672" s="481" t="s">
        <v>33</v>
      </c>
      <c r="E672" s="433">
        <f>F172</f>
        <v>2745.66</v>
      </c>
      <c r="F672" s="392">
        <f>ROUND(C672*E672,2)</f>
        <v>10790.44</v>
      </c>
    </row>
    <row r="673" spans="2:6" ht="12.75">
      <c r="B673" s="434" t="s">
        <v>178</v>
      </c>
      <c r="C673" s="435">
        <f>ROUND(1/C670,2)</f>
        <v>5</v>
      </c>
      <c r="D673" s="482" t="s">
        <v>20</v>
      </c>
      <c r="E673" s="437">
        <v>650</v>
      </c>
      <c r="F673" s="392">
        <f>ROUND(C673*E673,2)</f>
        <v>3250</v>
      </c>
    </row>
    <row r="674" spans="2:6" ht="13.5" thickBot="1">
      <c r="B674" s="438"/>
      <c r="C674" s="439"/>
      <c r="D674" s="439"/>
      <c r="E674" s="440" t="s">
        <v>176</v>
      </c>
      <c r="F674" s="441">
        <f>SUM(F671:F673)</f>
        <v>18718.84</v>
      </c>
    </row>
    <row r="675" spans="2:6" ht="13.5" thickTop="1">
      <c r="B675" s="8"/>
      <c r="C675" s="368"/>
      <c r="D675" s="385"/>
      <c r="E675" s="368"/>
      <c r="F675" s="368"/>
    </row>
    <row r="676" spans="2:6" ht="12.75">
      <c r="B676" s="1390" t="s">
        <v>469</v>
      </c>
      <c r="C676" s="1390"/>
      <c r="D676" s="1390"/>
      <c r="E676" s="1390"/>
      <c r="F676" s="1390"/>
    </row>
    <row r="677" spans="2:6" ht="12.75">
      <c r="B677" s="8"/>
      <c r="C677" s="368"/>
      <c r="D677" s="385"/>
      <c r="E677" s="368"/>
      <c r="F677" s="368"/>
    </row>
    <row r="678" spans="2:6" ht="13.5" thickBot="1">
      <c r="B678" s="476" t="s">
        <v>472</v>
      </c>
      <c r="C678" s="477"/>
      <c r="D678" s="478"/>
      <c r="E678" s="478"/>
      <c r="F678" s="479"/>
    </row>
    <row r="679" spans="2:6" ht="13.5" thickTop="1">
      <c r="B679" s="426" t="s">
        <v>183</v>
      </c>
      <c r="C679" s="427">
        <v>1.05</v>
      </c>
      <c r="D679" s="428" t="s">
        <v>7</v>
      </c>
      <c r="E679" s="429">
        <f>F60</f>
        <v>4455.62</v>
      </c>
      <c r="F679" s="485">
        <f>ROUND(C679*E679,2)</f>
        <v>4678.4</v>
      </c>
    </row>
    <row r="680" spans="2:6" ht="12.75">
      <c r="B680" s="430" t="s">
        <v>153</v>
      </c>
      <c r="C680" s="431">
        <v>0.72</v>
      </c>
      <c r="D680" s="432" t="s">
        <v>33</v>
      </c>
      <c r="E680" s="433">
        <f>F172</f>
        <v>2745.66</v>
      </c>
      <c r="F680" s="392">
        <f>ROUND(C680*E680,2)</f>
        <v>1976.88</v>
      </c>
    </row>
    <row r="681" spans="2:6" ht="13.5" thickBot="1">
      <c r="B681" s="438"/>
      <c r="C681" s="439"/>
      <c r="D681" s="439"/>
      <c r="E681" s="440" t="s">
        <v>176</v>
      </c>
      <c r="F681" s="441">
        <f>SUM(F679:F680)</f>
        <v>6655.28</v>
      </c>
    </row>
    <row r="682" spans="2:6" ht="13.5" thickTop="1">
      <c r="B682" s="8"/>
      <c r="C682" s="368"/>
      <c r="D682" s="385"/>
      <c r="E682" s="368"/>
      <c r="F682" s="368"/>
    </row>
    <row r="683" spans="2:6" ht="12.75">
      <c r="B683" s="1390" t="s">
        <v>470</v>
      </c>
      <c r="C683" s="1390"/>
      <c r="D683" s="1390"/>
      <c r="E683" s="1390"/>
      <c r="F683" s="1390"/>
    </row>
    <row r="684" spans="2:6" ht="12.75">
      <c r="B684" s="8"/>
      <c r="C684" s="368"/>
      <c r="D684" s="385"/>
      <c r="E684" s="368"/>
      <c r="F684" s="368"/>
    </row>
    <row r="685" spans="2:6" ht="13.5" thickBot="1">
      <c r="B685" s="476" t="s">
        <v>471</v>
      </c>
      <c r="C685" s="477">
        <v>0.1</v>
      </c>
      <c r="D685" s="478"/>
      <c r="E685" s="478"/>
      <c r="F685" s="479"/>
    </row>
    <row r="686" spans="2:6" ht="13.5" thickTop="1">
      <c r="B686" s="426" t="s">
        <v>183</v>
      </c>
      <c r="C686" s="427">
        <v>1.05</v>
      </c>
      <c r="D686" s="428" t="s">
        <v>7</v>
      </c>
      <c r="E686" s="429">
        <f>F60</f>
        <v>4455.62</v>
      </c>
      <c r="F686" s="485">
        <f>ROUND(C686*E686,2)</f>
        <v>4678.4</v>
      </c>
    </row>
    <row r="687" spans="2:6" ht="12.75">
      <c r="B687" s="430" t="s">
        <v>153</v>
      </c>
      <c r="C687" s="431">
        <v>2.31</v>
      </c>
      <c r="D687" s="432" t="s">
        <v>33</v>
      </c>
      <c r="E687" s="433">
        <f>F172</f>
        <v>2745.66</v>
      </c>
      <c r="F687" s="392">
        <f>ROUND(C687*E687,2)</f>
        <v>6342.47</v>
      </c>
    </row>
    <row r="688" spans="2:6" ht="12.75">
      <c r="B688" s="434" t="s">
        <v>178</v>
      </c>
      <c r="C688" s="435">
        <f>ROUND(1/C685,2)</f>
        <v>10</v>
      </c>
      <c r="D688" s="436" t="s">
        <v>20</v>
      </c>
      <c r="E688" s="437">
        <v>185</v>
      </c>
      <c r="F688" s="392">
        <f>ROUND(C688*E688,2)</f>
        <v>1850</v>
      </c>
    </row>
    <row r="689" spans="2:6" ht="13.5" thickBot="1">
      <c r="B689" s="438"/>
      <c r="C689" s="439"/>
      <c r="D689" s="439"/>
      <c r="E689" s="440" t="s">
        <v>176</v>
      </c>
      <c r="F689" s="441">
        <f>SUM(F686:F688)</f>
        <v>12870.87</v>
      </c>
    </row>
    <row r="690" spans="2:6" ht="13.5" thickTop="1">
      <c r="B690" s="8"/>
      <c r="C690" s="368"/>
      <c r="D690" s="385"/>
      <c r="E690" s="368"/>
      <c r="F690" s="368"/>
    </row>
    <row r="691" spans="2:6" ht="26.25" thickBot="1">
      <c r="B691" s="475" t="s">
        <v>424</v>
      </c>
      <c r="C691" s="368">
        <f>((0.3+0.2)*0.15)/2</f>
        <v>0.04</v>
      </c>
      <c r="D691" s="386" t="s">
        <v>8</v>
      </c>
      <c r="E691" s="368"/>
      <c r="F691" s="368"/>
    </row>
    <row r="692" spans="2:6" ht="13.5" thickTop="1">
      <c r="B692" s="426" t="s">
        <v>177</v>
      </c>
      <c r="C692" s="427">
        <v>1.05</v>
      </c>
      <c r="D692" s="428" t="s">
        <v>7</v>
      </c>
      <c r="E692" s="429">
        <f>F50</f>
        <v>4962.82</v>
      </c>
      <c r="F692" s="485">
        <f>ROUND(C692*E692,2)</f>
        <v>5210.96</v>
      </c>
    </row>
    <row r="693" spans="2:6" ht="12.75">
      <c r="B693" s="430" t="s">
        <v>153</v>
      </c>
      <c r="C693" s="431">
        <v>4.36</v>
      </c>
      <c r="D693" s="432" t="s">
        <v>33</v>
      </c>
      <c r="E693" s="433">
        <f>F166</f>
        <v>2600.55</v>
      </c>
      <c r="F693" s="392">
        <f>ROUND(C693*E693,2)</f>
        <v>11338.4</v>
      </c>
    </row>
    <row r="694" spans="2:6" ht="12.75">
      <c r="B694" s="434" t="s">
        <v>431</v>
      </c>
      <c r="C694" s="435">
        <v>20</v>
      </c>
      <c r="D694" s="436" t="s">
        <v>20</v>
      </c>
      <c r="E694" s="437">
        <v>80.55</v>
      </c>
      <c r="F694" s="392">
        <f>ROUND(C694*E694,2)</f>
        <v>1611</v>
      </c>
    </row>
    <row r="695" spans="2:6" ht="12.75">
      <c r="B695" s="434" t="s">
        <v>178</v>
      </c>
      <c r="C695" s="435">
        <f>ROUND(1/C691,2)</f>
        <v>25</v>
      </c>
      <c r="D695" s="436" t="s">
        <v>20</v>
      </c>
      <c r="E695" s="437">
        <v>250</v>
      </c>
      <c r="F695" s="392">
        <f>ROUND(C695*E695,2)</f>
        <v>6250</v>
      </c>
    </row>
    <row r="696" spans="2:6" ht="13.5" thickBot="1">
      <c r="B696" s="438"/>
      <c r="C696" s="439"/>
      <c r="D696" s="439"/>
      <c r="E696" s="440" t="s">
        <v>176</v>
      </c>
      <c r="F696" s="441">
        <f>SUM(F692:F695)</f>
        <v>24410.36</v>
      </c>
    </row>
    <row r="697" spans="2:6" ht="13.5" thickTop="1">
      <c r="B697" s="8"/>
      <c r="C697" s="368"/>
      <c r="D697" s="385"/>
      <c r="E697" s="368"/>
      <c r="F697" s="368"/>
    </row>
    <row r="698" spans="2:6" ht="13.5" thickBot="1">
      <c r="B698" s="381" t="s">
        <v>473</v>
      </c>
      <c r="C698" s="387"/>
      <c r="D698" s="388"/>
      <c r="E698" s="387"/>
      <c r="F698" s="387"/>
    </row>
    <row r="699" spans="2:6" ht="13.5" thickTop="1">
      <c r="B699" s="426" t="s">
        <v>183</v>
      </c>
      <c r="C699" s="427">
        <v>1.05</v>
      </c>
      <c r="D699" s="428" t="s">
        <v>7</v>
      </c>
      <c r="E699" s="429">
        <f>F60</f>
        <v>4455.62</v>
      </c>
      <c r="F699" s="485">
        <f>ROUND(C699*E699,2)</f>
        <v>4678.4</v>
      </c>
    </row>
    <row r="700" spans="2:6" ht="12.75">
      <c r="B700" s="430" t="s">
        <v>153</v>
      </c>
      <c r="C700" s="431">
        <v>0.74</v>
      </c>
      <c r="D700" s="432" t="s">
        <v>33</v>
      </c>
      <c r="E700" s="433">
        <f>F166</f>
        <v>2600.55</v>
      </c>
      <c r="F700" s="392">
        <f>ROUND(C700*E700,2)</f>
        <v>1924.41</v>
      </c>
    </row>
    <row r="701" spans="2:6" ht="12.75">
      <c r="B701" s="434" t="s">
        <v>431</v>
      </c>
      <c r="C701" s="435">
        <v>8.9</v>
      </c>
      <c r="D701" s="436" t="s">
        <v>20</v>
      </c>
      <c r="E701" s="437">
        <v>80.55</v>
      </c>
      <c r="F701" s="392">
        <f>ROUND(C701*E701,2)</f>
        <v>716.9</v>
      </c>
    </row>
    <row r="702" spans="2:6" ht="13.5" thickBot="1">
      <c r="B702" s="438"/>
      <c r="C702" s="439"/>
      <c r="D702" s="439"/>
      <c r="E702" s="440" t="s">
        <v>176</v>
      </c>
      <c r="F702" s="441">
        <f>SUM(F699:F700)</f>
        <v>6602.81</v>
      </c>
    </row>
    <row r="703" spans="2:6" ht="13.5" thickTop="1">
      <c r="B703" s="8"/>
      <c r="C703" s="368"/>
      <c r="D703" s="385"/>
      <c r="E703" s="368"/>
      <c r="F703" s="368"/>
    </row>
    <row r="704" spans="2:6" ht="12.75">
      <c r="B704" s="8" t="s">
        <v>474</v>
      </c>
      <c r="C704" s="368">
        <v>1</v>
      </c>
      <c r="D704" s="386" t="s">
        <v>8</v>
      </c>
      <c r="E704" s="368">
        <v>8809.73</v>
      </c>
      <c r="F704" s="469">
        <f>ROUND(C704*E704,2)</f>
        <v>8809.73</v>
      </c>
    </row>
    <row r="705" spans="2:8" ht="12.75">
      <c r="B705" s="8"/>
      <c r="C705" s="368"/>
      <c r="D705" s="385"/>
      <c r="E705" s="368"/>
      <c r="F705" s="368"/>
      <c r="H705" s="3">
        <v>1186.1</v>
      </c>
    </row>
    <row r="706" spans="2:10" ht="12.75">
      <c r="B706" s="8" t="s">
        <v>474</v>
      </c>
      <c r="C706" s="368">
        <v>1</v>
      </c>
      <c r="D706" s="386" t="s">
        <v>64</v>
      </c>
      <c r="E706" s="368">
        <v>818.75</v>
      </c>
      <c r="F706" s="469">
        <f>ROUND(C706*E706,2)</f>
        <v>818.75</v>
      </c>
      <c r="H706" s="153">
        <f>H705*41</f>
        <v>48630.1</v>
      </c>
      <c r="J706" s="3">
        <f>2.3*2.4</f>
        <v>5.5</v>
      </c>
    </row>
    <row r="707" spans="2:8" ht="12.75">
      <c r="B707" s="8"/>
      <c r="C707" s="368"/>
      <c r="D707" s="385"/>
      <c r="E707" s="368"/>
      <c r="F707" s="368"/>
      <c r="H707" s="371">
        <f>H706/J706</f>
        <v>8841.84</v>
      </c>
    </row>
    <row r="708" spans="2:8" ht="13.5" thickBot="1">
      <c r="B708" s="504" t="s">
        <v>477</v>
      </c>
      <c r="C708" s="505"/>
      <c r="D708" s="506"/>
      <c r="E708" s="505"/>
      <c r="F708" s="505"/>
      <c r="H708" s="371">
        <f>H707/10.76</f>
        <v>821.73</v>
      </c>
    </row>
    <row r="709" spans="2:6" ht="13.5" thickTop="1">
      <c r="B709" s="507" t="s">
        <v>478</v>
      </c>
      <c r="C709" s="508">
        <v>1</v>
      </c>
      <c r="D709" s="509" t="s">
        <v>8</v>
      </c>
      <c r="E709" s="508">
        <v>32.39</v>
      </c>
      <c r="F709" s="510">
        <f>ROUND(C709*E709,2)</f>
        <v>32.39</v>
      </c>
    </row>
    <row r="710" spans="2:6" ht="12.75">
      <c r="B710" s="511" t="s">
        <v>492</v>
      </c>
      <c r="C710" s="512">
        <v>0.0315</v>
      </c>
      <c r="D710" s="513" t="s">
        <v>7</v>
      </c>
      <c r="E710" s="514">
        <v>3500</v>
      </c>
      <c r="F710" s="515">
        <f aca="true" t="shared" si="9" ref="F710:F715">ROUND(C710*E710,2)</f>
        <v>110.25</v>
      </c>
    </row>
    <row r="711" spans="2:6" ht="12.75">
      <c r="B711" s="511" t="s">
        <v>479</v>
      </c>
      <c r="C711" s="514">
        <v>1.1</v>
      </c>
      <c r="D711" s="513" t="s">
        <v>124</v>
      </c>
      <c r="E711" s="514">
        <v>400</v>
      </c>
      <c r="F711" s="515">
        <f t="shared" si="9"/>
        <v>440</v>
      </c>
    </row>
    <row r="712" spans="2:6" ht="12.75">
      <c r="B712" s="511" t="s">
        <v>480</v>
      </c>
      <c r="C712" s="514">
        <v>3.33</v>
      </c>
      <c r="D712" s="513" t="s">
        <v>124</v>
      </c>
      <c r="E712" s="514">
        <v>30</v>
      </c>
      <c r="F712" s="515">
        <f t="shared" si="9"/>
        <v>99.9</v>
      </c>
    </row>
    <row r="713" spans="2:6" ht="12.75">
      <c r="B713" s="516" t="s">
        <v>481</v>
      </c>
      <c r="C713" s="512">
        <v>0.0344</v>
      </c>
      <c r="D713" s="513" t="s">
        <v>27</v>
      </c>
      <c r="E713" s="514">
        <f>F13</f>
        <v>250</v>
      </c>
      <c r="F713" s="515">
        <f t="shared" si="9"/>
        <v>8.6</v>
      </c>
    </row>
    <row r="714" spans="2:6" ht="12.75">
      <c r="B714" s="516" t="s">
        <v>482</v>
      </c>
      <c r="C714" s="514">
        <v>1</v>
      </c>
      <c r="D714" s="513" t="s">
        <v>8</v>
      </c>
      <c r="E714" s="514">
        <v>119.88</v>
      </c>
      <c r="F714" s="515">
        <f t="shared" si="9"/>
        <v>119.88</v>
      </c>
    </row>
    <row r="715" spans="2:6" ht="12.75">
      <c r="B715" s="516" t="s">
        <v>483</v>
      </c>
      <c r="C715" s="514">
        <v>1</v>
      </c>
      <c r="D715" s="513" t="s">
        <v>8</v>
      </c>
      <c r="E715" s="517">
        <v>114</v>
      </c>
      <c r="F715" s="515">
        <f t="shared" si="9"/>
        <v>114</v>
      </c>
    </row>
    <row r="716" spans="2:6" ht="13.5" thickBot="1">
      <c r="B716" s="518"/>
      <c r="C716" s="519"/>
      <c r="D716" s="520"/>
      <c r="E716" s="305" t="s">
        <v>47</v>
      </c>
      <c r="F716" s="521">
        <f>SUM(F709:F715)</f>
        <v>925.02</v>
      </c>
    </row>
    <row r="717" spans="2:6" ht="13.5" thickTop="1">
      <c r="B717" s="8"/>
      <c r="C717" s="368"/>
      <c r="D717" s="385"/>
      <c r="E717" s="368"/>
      <c r="F717" s="368"/>
    </row>
    <row r="718" spans="2:6" ht="13.5" thickBot="1">
      <c r="B718" s="504" t="s">
        <v>484</v>
      </c>
      <c r="C718" s="300"/>
      <c r="D718" s="301"/>
      <c r="E718" s="300"/>
      <c r="F718" s="300"/>
    </row>
    <row r="719" spans="2:6" ht="13.5" thickTop="1">
      <c r="B719" s="522" t="s">
        <v>485</v>
      </c>
      <c r="C719" s="523">
        <v>0.0021</v>
      </c>
      <c r="D719" s="524" t="s">
        <v>7</v>
      </c>
      <c r="E719" s="508">
        <f>F92</f>
        <v>5023.96</v>
      </c>
      <c r="F719" s="510">
        <f>ROUND(C719*E719,2)</f>
        <v>10.55</v>
      </c>
    </row>
    <row r="720" spans="2:6" ht="12.75">
      <c r="B720" s="525" t="s">
        <v>479</v>
      </c>
      <c r="C720" s="514">
        <v>1.1</v>
      </c>
      <c r="D720" s="526" t="s">
        <v>124</v>
      </c>
      <c r="E720" s="514">
        <v>50</v>
      </c>
      <c r="F720" s="515">
        <f>ROUND(C720*E720,2)</f>
        <v>55</v>
      </c>
    </row>
    <row r="721" spans="2:6" ht="12.75">
      <c r="B721" s="525" t="s">
        <v>480</v>
      </c>
      <c r="C721" s="514">
        <v>1</v>
      </c>
      <c r="D721" s="526" t="s">
        <v>124</v>
      </c>
      <c r="E721" s="514">
        <v>30</v>
      </c>
      <c r="F721" s="515">
        <f>ROUND(C721*E721,2)</f>
        <v>30</v>
      </c>
    </row>
    <row r="722" spans="2:6" ht="12.75">
      <c r="B722" s="525" t="s">
        <v>486</v>
      </c>
      <c r="C722" s="527">
        <v>0.001</v>
      </c>
      <c r="D722" s="526" t="s">
        <v>27</v>
      </c>
      <c r="E722" s="514">
        <f>F13</f>
        <v>250</v>
      </c>
      <c r="F722" s="515">
        <f>ROUND(C722*E722,2)</f>
        <v>0.25</v>
      </c>
    </row>
    <row r="723" spans="2:6" ht="12.75">
      <c r="B723" s="525" t="s">
        <v>482</v>
      </c>
      <c r="C723" s="514">
        <v>1</v>
      </c>
      <c r="D723" s="526" t="s">
        <v>20</v>
      </c>
      <c r="E723" s="514">
        <v>60.51</v>
      </c>
      <c r="F723" s="515">
        <f>ROUND(C723*E723,2)</f>
        <v>60.51</v>
      </c>
    </row>
    <row r="724" spans="2:6" ht="13.5" thickBot="1">
      <c r="B724" s="528"/>
      <c r="C724" s="529"/>
      <c r="D724" s="530"/>
      <c r="E724" s="305" t="s">
        <v>47</v>
      </c>
      <c r="F724" s="531">
        <f>SUM(F719:F723)</f>
        <v>156.31</v>
      </c>
    </row>
    <row r="725" spans="2:6" ht="13.5" thickTop="1">
      <c r="B725" s="8"/>
      <c r="C725" s="368"/>
      <c r="D725" s="385"/>
      <c r="E725" s="368"/>
      <c r="F725" s="368"/>
    </row>
    <row r="726" spans="2:6" ht="13.5" thickBot="1">
      <c r="B726" s="373" t="s">
        <v>487</v>
      </c>
      <c r="C726" s="368"/>
      <c r="D726" s="385"/>
      <c r="E726" s="368"/>
      <c r="F726" s="368"/>
    </row>
    <row r="727" spans="2:6" ht="13.5" thickTop="1">
      <c r="B727" s="462" t="s">
        <v>488</v>
      </c>
      <c r="C727" s="400">
        <v>1</v>
      </c>
      <c r="D727" s="463" t="s">
        <v>7</v>
      </c>
      <c r="E727" s="400">
        <v>350</v>
      </c>
      <c r="F727" s="510">
        <f>ROUND(C727*E727,2)</f>
        <v>350</v>
      </c>
    </row>
    <row r="728" spans="2:6" ht="12.75">
      <c r="B728" s="374" t="s">
        <v>38</v>
      </c>
      <c r="C728" s="375">
        <v>8</v>
      </c>
      <c r="D728" s="464" t="s">
        <v>35</v>
      </c>
      <c r="E728" s="375">
        <v>14</v>
      </c>
      <c r="F728" s="515">
        <f>ROUND(C728*E728,2)</f>
        <v>112</v>
      </c>
    </row>
    <row r="729" spans="2:6" ht="13.5" thickBot="1">
      <c r="B729" s="376"/>
      <c r="C729" s="377"/>
      <c r="D729" s="465"/>
      <c r="E729" s="379" t="s">
        <v>489</v>
      </c>
      <c r="F729" s="466">
        <f>SUM(F727:F728)</f>
        <v>462</v>
      </c>
    </row>
    <row r="730" spans="2:6" ht="14.25" thickBot="1" thickTop="1">
      <c r="B730" s="462"/>
      <c r="C730" s="400"/>
      <c r="D730" s="532" t="s">
        <v>490</v>
      </c>
      <c r="E730" s="533" t="s">
        <v>489</v>
      </c>
      <c r="F730" s="534">
        <v>111.58</v>
      </c>
    </row>
    <row r="731" spans="2:6" ht="14.25" thickBot="1" thickTop="1">
      <c r="B731" s="376"/>
      <c r="C731" s="377"/>
      <c r="D731" s="535" t="s">
        <v>491</v>
      </c>
      <c r="E731" s="536" t="s">
        <v>489</v>
      </c>
      <c r="F731" s="467">
        <f>SUM(F729:F730)</f>
        <v>573.58</v>
      </c>
    </row>
    <row r="732" spans="2:6" ht="13.5" thickTop="1">
      <c r="B732" s="8"/>
      <c r="C732" s="368"/>
      <c r="D732" s="385"/>
      <c r="E732" s="368"/>
      <c r="F732" s="368"/>
    </row>
    <row r="733" spans="2:6" ht="12.75">
      <c r="B733" s="1387" t="s">
        <v>496</v>
      </c>
      <c r="C733" s="1387"/>
      <c r="D733" s="1387"/>
      <c r="E733" s="1387"/>
      <c r="F733" s="1387"/>
    </row>
    <row r="734" spans="2:6" ht="13.5" thickBot="1">
      <c r="B734" s="154" t="s">
        <v>497</v>
      </c>
      <c r="C734" s="214">
        <v>0.1</v>
      </c>
      <c r="D734" s="124"/>
      <c r="E734" s="124"/>
      <c r="F734" s="125"/>
    </row>
    <row r="735" spans="2:6" ht="13.5" thickTop="1">
      <c r="B735" s="126" t="s">
        <v>227</v>
      </c>
      <c r="C735" s="127">
        <v>1.05</v>
      </c>
      <c r="D735" s="128" t="s">
        <v>7</v>
      </c>
      <c r="E735" s="129">
        <f>F41</f>
        <v>5982.82</v>
      </c>
      <c r="F735" s="23">
        <f>ROUND(C735*E735,2)</f>
        <v>6281.96</v>
      </c>
    </row>
    <row r="736" spans="2:6" ht="12.75">
      <c r="B736" s="130" t="s">
        <v>153</v>
      </c>
      <c r="C736" s="131">
        <v>1.09</v>
      </c>
      <c r="D736" s="132" t="s">
        <v>33</v>
      </c>
      <c r="E736" s="133">
        <f>E325</f>
        <v>2745.66</v>
      </c>
      <c r="F736" s="353">
        <f>ROUND(C736*E736,2)</f>
        <v>2992.77</v>
      </c>
    </row>
    <row r="737" spans="2:6" ht="12.75">
      <c r="B737" s="134" t="s">
        <v>178</v>
      </c>
      <c r="C737" s="135">
        <f>ROUND(1/C734,2)</f>
        <v>10</v>
      </c>
      <c r="D737" s="136" t="s">
        <v>20</v>
      </c>
      <c r="E737" s="137">
        <v>185</v>
      </c>
      <c r="F737" s="353">
        <f>ROUND(C737*E737,2)</f>
        <v>1850</v>
      </c>
    </row>
    <row r="738" spans="2:6" ht="13.5" thickBot="1">
      <c r="B738" s="138"/>
      <c r="C738" s="139"/>
      <c r="D738" s="139"/>
      <c r="E738" s="152" t="s">
        <v>176</v>
      </c>
      <c r="F738" s="141">
        <f>SUM(F735:F737)</f>
        <v>11124.73</v>
      </c>
    </row>
    <row r="739" spans="2:6" ht="13.5" thickTop="1">
      <c r="B739" s="8"/>
      <c r="C739" s="368"/>
      <c r="D739" s="385"/>
      <c r="E739" s="368"/>
      <c r="F739" s="368"/>
    </row>
    <row r="740" spans="2:6" ht="12.75">
      <c r="B740" s="8"/>
      <c r="C740" s="368"/>
      <c r="D740" s="385"/>
      <c r="E740" s="368"/>
      <c r="F740" s="368"/>
    </row>
    <row r="741" spans="2:6" ht="12.75">
      <c r="B741" s="1387" t="s">
        <v>495</v>
      </c>
      <c r="C741" s="1387"/>
      <c r="D741" s="1387"/>
      <c r="E741" s="1387"/>
      <c r="F741" s="1387"/>
    </row>
    <row r="742" spans="2:6" ht="13.5" thickBot="1">
      <c r="B742" s="154" t="s">
        <v>498</v>
      </c>
      <c r="C742" s="210"/>
      <c r="D742" s="124"/>
      <c r="E742" s="124"/>
      <c r="F742" s="125"/>
    </row>
    <row r="743" spans="2:6" ht="13.5" thickTop="1">
      <c r="B743" s="126" t="s">
        <v>227</v>
      </c>
      <c r="C743" s="127">
        <v>1.05</v>
      </c>
      <c r="D743" s="128" t="s">
        <v>7</v>
      </c>
      <c r="E743" s="129">
        <f>E735</f>
        <v>5982.82</v>
      </c>
      <c r="F743" s="23">
        <f>ROUND(C743*E743,2)</f>
        <v>6281.96</v>
      </c>
    </row>
    <row r="744" spans="2:6" ht="12.75">
      <c r="B744" s="130" t="s">
        <v>153</v>
      </c>
      <c r="C744" s="131">
        <v>1.49</v>
      </c>
      <c r="D744" s="132" t="s">
        <v>33</v>
      </c>
      <c r="E744" s="133">
        <f>E736</f>
        <v>2745.66</v>
      </c>
      <c r="F744" s="353">
        <f>ROUND(C744*E744,2)</f>
        <v>4091.03</v>
      </c>
    </row>
    <row r="745" spans="2:6" ht="13.5" thickBot="1">
      <c r="B745" s="138"/>
      <c r="C745" s="139"/>
      <c r="D745" s="139"/>
      <c r="E745" s="152" t="s">
        <v>176</v>
      </c>
      <c r="F745" s="141">
        <f>SUM(F743:F744)</f>
        <v>10372.99</v>
      </c>
    </row>
    <row r="746" spans="2:6" ht="13.5" thickTop="1">
      <c r="B746" s="8"/>
      <c r="C746" s="368"/>
      <c r="D746" s="385"/>
      <c r="E746" s="368"/>
      <c r="F746" s="368"/>
    </row>
    <row r="747" spans="2:6" ht="12.75">
      <c r="B747" s="1387" t="s">
        <v>499</v>
      </c>
      <c r="C747" s="1387"/>
      <c r="D747" s="1387"/>
      <c r="E747" s="1387"/>
      <c r="F747" s="1387"/>
    </row>
    <row r="748" spans="2:6" ht="13.5" thickBot="1">
      <c r="B748" s="49" t="s">
        <v>500</v>
      </c>
      <c r="C748" s="300"/>
      <c r="D748" s="301"/>
      <c r="E748" s="300"/>
      <c r="F748" s="300"/>
    </row>
    <row r="749" spans="2:6" ht="13.5" thickTop="1">
      <c r="B749" s="21" t="str">
        <f>B743</f>
        <v>H.S. 240 KG/CM2+5% DESP.</v>
      </c>
      <c r="C749" s="302">
        <v>1.05</v>
      </c>
      <c r="D749" s="173" t="s">
        <v>7</v>
      </c>
      <c r="E749" s="302">
        <f>E743</f>
        <v>5982.82</v>
      </c>
      <c r="F749" s="23">
        <f>ROUND(C749*E749,2)</f>
        <v>6281.96</v>
      </c>
    </row>
    <row r="750" spans="2:9" ht="12.75">
      <c r="B750" s="27" t="s">
        <v>153</v>
      </c>
      <c r="C750" s="303">
        <v>8.15</v>
      </c>
      <c r="D750" s="174" t="s">
        <v>33</v>
      </c>
      <c r="E750" s="303">
        <f>F632</f>
        <v>2013.75</v>
      </c>
      <c r="F750" s="353">
        <f>ROUND(C750*E750,2)</f>
        <v>16412.06</v>
      </c>
      <c r="I750" s="311"/>
    </row>
    <row r="751" spans="2:6" ht="12.75">
      <c r="B751" s="27" t="s">
        <v>247</v>
      </c>
      <c r="C751" s="303">
        <v>44.44</v>
      </c>
      <c r="D751" s="174" t="s">
        <v>105</v>
      </c>
      <c r="E751" s="303">
        <v>100</v>
      </c>
      <c r="F751" s="353">
        <f>ROUND(C751*E751,2)</f>
        <v>4444</v>
      </c>
    </row>
    <row r="752" spans="2:6" ht="13.5" thickBot="1">
      <c r="B752" s="35"/>
      <c r="C752" s="304"/>
      <c r="D752" s="183"/>
      <c r="E752" s="305"/>
      <c r="F752" s="306">
        <f>SUM(F749:F751)</f>
        <v>27138.02</v>
      </c>
    </row>
    <row r="753" spans="2:6" ht="13.5" thickTop="1">
      <c r="B753" s="307" t="s">
        <v>296</v>
      </c>
      <c r="C753" s="310">
        <f>0.15*0.15*0.6</f>
        <v>0.014</v>
      </c>
      <c r="D753" s="309" t="s">
        <v>7</v>
      </c>
      <c r="E753" s="308">
        <f>F752</f>
        <v>27138.02</v>
      </c>
      <c r="F753" s="312">
        <f>ROUND(C753*E753,2)</f>
        <v>379.93</v>
      </c>
    </row>
    <row r="754" spans="2:6" ht="12.75">
      <c r="B754" s="8"/>
      <c r="C754" s="368"/>
      <c r="D754" s="385"/>
      <c r="E754" s="368"/>
      <c r="F754" s="368"/>
    </row>
    <row r="755" spans="2:6" ht="12.75">
      <c r="B755" s="1387" t="s">
        <v>501</v>
      </c>
      <c r="C755" s="1387"/>
      <c r="D755" s="1387"/>
      <c r="E755" s="1387"/>
      <c r="F755" s="1387"/>
    </row>
    <row r="756" spans="2:4" ht="13.5" thickBot="1">
      <c r="B756" s="50" t="s">
        <v>175</v>
      </c>
      <c r="D756" s="2"/>
    </row>
    <row r="757" spans="2:6" ht="13.5" thickTop="1">
      <c r="B757" s="126" t="s">
        <v>502</v>
      </c>
      <c r="C757" s="127">
        <v>1.05</v>
      </c>
      <c r="D757" s="128" t="s">
        <v>7</v>
      </c>
      <c r="E757" s="129">
        <f>E749</f>
        <v>5982.82</v>
      </c>
      <c r="F757" s="23">
        <f>ROUND(C757*E757,2)</f>
        <v>6281.96</v>
      </c>
    </row>
    <row r="758" spans="2:6" ht="12.75">
      <c r="B758" s="130" t="s">
        <v>153</v>
      </c>
      <c r="C758" s="131">
        <v>1.14</v>
      </c>
      <c r="D758" s="132" t="s">
        <v>33</v>
      </c>
      <c r="E758" s="133">
        <f>E750</f>
        <v>2013.75</v>
      </c>
      <c r="F758" s="353">
        <f>ROUND(C758*E758,2)</f>
        <v>2295.68</v>
      </c>
    </row>
    <row r="759" spans="2:6" ht="13.5" thickBot="1">
      <c r="B759" s="138"/>
      <c r="C759" s="139"/>
      <c r="D759" s="139"/>
      <c r="E759" s="152" t="s">
        <v>176</v>
      </c>
      <c r="F759" s="141">
        <f>SUM(F757:F758)</f>
        <v>8577.64</v>
      </c>
    </row>
    <row r="760" spans="2:6" ht="13.5" thickTop="1">
      <c r="B760" s="8"/>
      <c r="C760" s="368"/>
      <c r="D760" s="385"/>
      <c r="E760" s="368"/>
      <c r="F760" s="368"/>
    </row>
    <row r="761" spans="2:6" ht="12.75">
      <c r="B761" s="1387" t="s">
        <v>503</v>
      </c>
      <c r="C761" s="1387"/>
      <c r="D761" s="1387"/>
      <c r="E761" s="1387"/>
      <c r="F761" s="1387"/>
    </row>
    <row r="762" spans="1:9" ht="13.5" thickBot="1">
      <c r="A762" s="4"/>
      <c r="B762" s="539" t="s">
        <v>426</v>
      </c>
      <c r="C762" s="383"/>
      <c r="D762" s="384"/>
      <c r="E762" s="383"/>
      <c r="F762" s="383"/>
      <c r="G762" s="4"/>
      <c r="I762" s="16"/>
    </row>
    <row r="763" spans="1:9" ht="13.5" thickTop="1">
      <c r="A763" s="4"/>
      <c r="B763" s="540" t="s">
        <v>227</v>
      </c>
      <c r="C763" s="541">
        <v>1.05</v>
      </c>
      <c r="D763" s="542" t="s">
        <v>7</v>
      </c>
      <c r="E763" s="543">
        <f>E757</f>
        <v>5982.82</v>
      </c>
      <c r="F763" s="544">
        <f>ROUND(C763*E763,2)</f>
        <v>6281.96</v>
      </c>
      <c r="G763" s="4"/>
      <c r="I763" s="371">
        <f>(0.5^2*PI())/4</f>
        <v>0.2</v>
      </c>
    </row>
    <row r="764" spans="1:10" ht="12.75">
      <c r="A764" s="4"/>
      <c r="B764" s="545" t="s">
        <v>153</v>
      </c>
      <c r="C764" s="546">
        <v>0.36</v>
      </c>
      <c r="D764" s="547" t="s">
        <v>33</v>
      </c>
      <c r="E764" s="548">
        <f>E758</f>
        <v>2013.75</v>
      </c>
      <c r="F764" s="549">
        <f>ROUND(C764*E764,2)</f>
        <v>724.95</v>
      </c>
      <c r="G764" s="4"/>
      <c r="I764" s="371">
        <f>I763*0.15</f>
        <v>0.03</v>
      </c>
      <c r="J764" s="3">
        <f>4434.56*I764</f>
        <v>133</v>
      </c>
    </row>
    <row r="765" spans="1:9" ht="12.75">
      <c r="A765" s="4"/>
      <c r="B765" s="550" t="s">
        <v>431</v>
      </c>
      <c r="C765" s="551">
        <v>8.9</v>
      </c>
      <c r="D765" s="552" t="s">
        <v>20</v>
      </c>
      <c r="E765" s="553">
        <v>80.55</v>
      </c>
      <c r="F765" s="549">
        <f>ROUND(C765*E765,2)</f>
        <v>716.9</v>
      </c>
      <c r="G765" s="4"/>
      <c r="I765" s="371"/>
    </row>
    <row r="766" spans="1:7" ht="13.5" thickBot="1">
      <c r="A766" s="4"/>
      <c r="B766" s="458"/>
      <c r="C766" s="459"/>
      <c r="D766" s="459"/>
      <c r="E766" s="460" t="s">
        <v>176</v>
      </c>
      <c r="F766" s="461">
        <f>SUM(F763:F764)</f>
        <v>7006.91</v>
      </c>
      <c r="G766" s="4"/>
    </row>
    <row r="767" spans="2:6" ht="13.5" thickTop="1">
      <c r="B767" s="385"/>
      <c r="C767" s="455"/>
      <c r="D767" s="385"/>
      <c r="E767" s="455"/>
      <c r="F767" s="455"/>
    </row>
    <row r="768" spans="2:6" ht="12.75">
      <c r="B768" s="1387" t="s">
        <v>504</v>
      </c>
      <c r="C768" s="1387"/>
      <c r="D768" s="1387"/>
      <c r="E768" s="1387"/>
      <c r="F768" s="1387"/>
    </row>
    <row r="769" spans="1:7" ht="13.5" thickBot="1">
      <c r="A769" s="4"/>
      <c r="B769" s="554" t="s">
        <v>504</v>
      </c>
      <c r="C769" s="555">
        <f>0.2*0.3</f>
        <v>0.06</v>
      </c>
      <c r="D769" s="456"/>
      <c r="E769" s="456"/>
      <c r="F769" s="457"/>
      <c r="G769" s="4"/>
    </row>
    <row r="770" spans="1:7" ht="13.5" thickTop="1">
      <c r="A770" s="4"/>
      <c r="B770" s="540" t="s">
        <v>227</v>
      </c>
      <c r="C770" s="541">
        <v>1.05</v>
      </c>
      <c r="D770" s="542" t="s">
        <v>7</v>
      </c>
      <c r="E770" s="543">
        <f>E763</f>
        <v>5982.82</v>
      </c>
      <c r="F770" s="544">
        <f>ROUND(C770*E770,2)</f>
        <v>6281.96</v>
      </c>
      <c r="G770" s="4"/>
    </row>
    <row r="771" spans="1:7" ht="12.75">
      <c r="A771" s="4"/>
      <c r="B771" s="545" t="s">
        <v>153</v>
      </c>
      <c r="C771" s="546">
        <v>3.56</v>
      </c>
      <c r="D771" s="547" t="s">
        <v>33</v>
      </c>
      <c r="E771" s="548">
        <f>E764</f>
        <v>2013.75</v>
      </c>
      <c r="F771" s="549">
        <f>ROUND(C771*E771,2)</f>
        <v>7168.95</v>
      </c>
      <c r="G771" s="4"/>
    </row>
    <row r="772" spans="1:7" ht="12.75">
      <c r="A772" s="4"/>
      <c r="B772" s="550" t="s">
        <v>431</v>
      </c>
      <c r="C772" s="551">
        <v>16.67</v>
      </c>
      <c r="D772" s="552" t="s">
        <v>20</v>
      </c>
      <c r="E772" s="553">
        <v>80.55</v>
      </c>
      <c r="F772" s="549">
        <f>ROUND(C772*E772,2)</f>
        <v>1342.77</v>
      </c>
      <c r="G772" s="4"/>
    </row>
    <row r="773" spans="1:7" ht="12.75">
      <c r="A773" s="4"/>
      <c r="B773" s="550" t="s">
        <v>178</v>
      </c>
      <c r="C773" s="551">
        <f>ROUND(1/C769,2)</f>
        <v>16.67</v>
      </c>
      <c r="D773" s="552" t="s">
        <v>20</v>
      </c>
      <c r="E773" s="553">
        <v>250</v>
      </c>
      <c r="F773" s="549">
        <f>ROUND(C773*E773,2)</f>
        <v>4167.5</v>
      </c>
      <c r="G773" s="4"/>
    </row>
    <row r="774" spans="2:10" s="384" customFormat="1" ht="13.5" thickBot="1">
      <c r="B774" s="458"/>
      <c r="C774" s="459"/>
      <c r="D774" s="459"/>
      <c r="E774" s="460" t="s">
        <v>176</v>
      </c>
      <c r="F774" s="461">
        <f>SUM(F770:F773)</f>
        <v>18961.18</v>
      </c>
      <c r="H774" s="556"/>
      <c r="I774" s="556"/>
      <c r="J774" s="556"/>
    </row>
    <row r="775" spans="2:6" ht="13.5" thickTop="1">
      <c r="B775" s="8"/>
      <c r="C775" s="368"/>
      <c r="D775" s="385"/>
      <c r="E775" s="368"/>
      <c r="F775" s="368"/>
    </row>
    <row r="776" spans="2:6" ht="12.75">
      <c r="B776" s="8"/>
      <c r="C776" s="368"/>
      <c r="D776" s="385"/>
      <c r="E776" s="368"/>
      <c r="F776" s="368"/>
    </row>
    <row r="777" spans="2:6" ht="12.75">
      <c r="B777" s="1388" t="s">
        <v>77</v>
      </c>
      <c r="C777" s="1388"/>
      <c r="D777" s="1388"/>
      <c r="E777" s="1388"/>
      <c r="F777" s="1388"/>
    </row>
    <row r="778" spans="1:15" ht="12.75" customHeight="1" thickBot="1">
      <c r="A778" s="47"/>
      <c r="B778" s="50" t="s">
        <v>77</v>
      </c>
      <c r="C778" s="16"/>
      <c r="D778" s="17"/>
      <c r="E778" s="16"/>
      <c r="F778" s="16"/>
      <c r="G778" s="15"/>
      <c r="H778" s="14"/>
      <c r="I778" s="14"/>
      <c r="J778" s="14"/>
      <c r="K778" s="15"/>
      <c r="L778" s="15"/>
      <c r="M778" s="15"/>
      <c r="N778" s="15"/>
      <c r="O778" s="15"/>
    </row>
    <row r="779" spans="1:15" ht="12.75" customHeight="1" thickTop="1">
      <c r="A779" s="47"/>
      <c r="B779" s="21" t="s">
        <v>78</v>
      </c>
      <c r="C779" s="22">
        <v>0.06</v>
      </c>
      <c r="D779" s="54" t="s">
        <v>7</v>
      </c>
      <c r="E779" s="57">
        <f>E117</f>
        <v>5023.96</v>
      </c>
      <c r="F779" s="23">
        <f>ROUND(C779*E779,2)</f>
        <v>301.44</v>
      </c>
      <c r="G779" s="48"/>
      <c r="H779" s="14"/>
      <c r="I779" s="14"/>
      <c r="J779" s="14"/>
      <c r="K779" s="15"/>
      <c r="L779" s="15"/>
      <c r="M779" s="15"/>
      <c r="N779" s="15"/>
      <c r="O779" s="15"/>
    </row>
    <row r="780" spans="1:15" ht="12.75" customHeight="1">
      <c r="A780" s="47"/>
      <c r="B780" s="27" t="s">
        <v>63</v>
      </c>
      <c r="C780" s="28">
        <v>0.33</v>
      </c>
      <c r="D780" s="41" t="s">
        <v>64</v>
      </c>
      <c r="E780" s="58">
        <v>45</v>
      </c>
      <c r="F780" s="353">
        <f>ROUND(C780*E780,2)</f>
        <v>14.85</v>
      </c>
      <c r="G780" s="48"/>
      <c r="H780" s="14"/>
      <c r="I780" s="14"/>
      <c r="J780" s="14"/>
      <c r="K780" s="15"/>
      <c r="L780" s="15"/>
      <c r="M780" s="15"/>
      <c r="N780" s="15"/>
      <c r="O780" s="15"/>
    </row>
    <row r="781" spans="1:15" ht="12.75" customHeight="1">
      <c r="A781" s="47"/>
      <c r="B781" s="27" t="s">
        <v>65</v>
      </c>
      <c r="C781" s="28">
        <v>1</v>
      </c>
      <c r="D781" s="41" t="s">
        <v>66</v>
      </c>
      <c r="E781" s="58">
        <v>6</v>
      </c>
      <c r="F781" s="353">
        <f>ROUND(C781*E781,2)</f>
        <v>6</v>
      </c>
      <c r="G781" s="48"/>
      <c r="H781" s="14"/>
      <c r="I781" s="14"/>
      <c r="J781" s="14"/>
      <c r="K781" s="15"/>
      <c r="L781" s="15"/>
      <c r="M781" s="15"/>
      <c r="N781" s="15"/>
      <c r="O781" s="15"/>
    </row>
    <row r="782" spans="1:15" ht="12.75" customHeight="1">
      <c r="A782" s="47"/>
      <c r="B782" s="27" t="s">
        <v>79</v>
      </c>
      <c r="C782" s="28">
        <v>1</v>
      </c>
      <c r="D782" s="41" t="s">
        <v>66</v>
      </c>
      <c r="E782" s="58">
        <v>6</v>
      </c>
      <c r="F782" s="353">
        <f>ROUND(C782*E782,2)</f>
        <v>6</v>
      </c>
      <c r="G782" s="48"/>
      <c r="H782" s="14"/>
      <c r="I782" s="14"/>
      <c r="J782" s="14"/>
      <c r="K782" s="15"/>
      <c r="L782" s="15"/>
      <c r="M782" s="15"/>
      <c r="N782" s="15"/>
      <c r="O782" s="15"/>
    </row>
    <row r="783" spans="1:15" ht="12.75" customHeight="1">
      <c r="A783" s="47"/>
      <c r="B783" s="27" t="s">
        <v>15</v>
      </c>
      <c r="C783" s="28">
        <v>1</v>
      </c>
      <c r="D783" s="41" t="s">
        <v>8</v>
      </c>
      <c r="E783" s="58">
        <v>115.23</v>
      </c>
      <c r="F783" s="353">
        <f>ROUND(C783*E783,2)</f>
        <v>115.23</v>
      </c>
      <c r="G783" s="48"/>
      <c r="H783" s="14"/>
      <c r="I783" s="14"/>
      <c r="J783" s="14"/>
      <c r="K783" s="15"/>
      <c r="L783" s="15"/>
      <c r="M783" s="15"/>
      <c r="N783" s="15"/>
      <c r="O783" s="15"/>
    </row>
    <row r="784" spans="1:15" ht="12.75" customHeight="1" thickBot="1">
      <c r="A784" s="47"/>
      <c r="B784" s="35"/>
      <c r="C784" s="42"/>
      <c r="D784" s="85" t="s">
        <v>80</v>
      </c>
      <c r="E784" s="30" t="s">
        <v>81</v>
      </c>
      <c r="F784" s="45">
        <f>ROUND(SUM(F779:F783),2)</f>
        <v>443.52</v>
      </c>
      <c r="G784" s="59"/>
      <c r="H784" s="14"/>
      <c r="I784" s="14"/>
      <c r="J784" s="14"/>
      <c r="K784" s="15"/>
      <c r="L784" s="15"/>
      <c r="M784" s="15"/>
      <c r="N784" s="15"/>
      <c r="O784" s="15"/>
    </row>
    <row r="785" spans="1:15" ht="12.75" customHeight="1" thickTop="1">
      <c r="A785" s="47"/>
      <c r="B785" s="86" t="s">
        <v>82</v>
      </c>
      <c r="C785" s="87"/>
      <c r="D785" s="88"/>
      <c r="E785" s="89"/>
      <c r="F785" s="90">
        <f>ROUND(F784+F769,2)</f>
        <v>443.52</v>
      </c>
      <c r="G785" s="59"/>
      <c r="H785" s="14"/>
      <c r="I785" s="14"/>
      <c r="J785" s="14"/>
      <c r="K785" s="15"/>
      <c r="L785" s="15"/>
      <c r="M785" s="15"/>
      <c r="N785" s="15"/>
      <c r="O785" s="15"/>
    </row>
    <row r="786" spans="1:15" ht="12.75" customHeight="1" thickBot="1">
      <c r="A786" s="47"/>
      <c r="B786" s="66" t="s">
        <v>83</v>
      </c>
      <c r="C786" s="42">
        <f>($C$79*6*$C$117)/128</f>
        <v>0.03</v>
      </c>
      <c r="D786" s="67" t="s">
        <v>10</v>
      </c>
      <c r="E786" s="91">
        <v>330.6</v>
      </c>
      <c r="F786" s="69">
        <f>(C786*E786)+F785</f>
        <v>453.44</v>
      </c>
      <c r="G786" s="59"/>
      <c r="H786" s="14"/>
      <c r="I786" s="14"/>
      <c r="J786" s="14"/>
      <c r="K786" s="15"/>
      <c r="L786" s="15"/>
      <c r="M786" s="15"/>
      <c r="N786" s="15"/>
      <c r="O786" s="15"/>
    </row>
    <row r="787" spans="1:15" ht="12.75" customHeight="1" thickTop="1">
      <c r="A787" s="47"/>
      <c r="B787" s="92"/>
      <c r="C787" s="38"/>
      <c r="D787" s="557"/>
      <c r="E787" s="558"/>
      <c r="F787" s="559"/>
      <c r="G787" s="59"/>
      <c r="H787" s="14"/>
      <c r="I787" s="14"/>
      <c r="J787" s="14"/>
      <c r="K787" s="15"/>
      <c r="L787" s="15"/>
      <c r="M787" s="15"/>
      <c r="N787" s="15"/>
      <c r="O787" s="15"/>
    </row>
    <row r="788" spans="1:15" ht="12.75" customHeight="1">
      <c r="A788" s="47"/>
      <c r="B788" s="92"/>
      <c r="C788" s="38"/>
      <c r="D788" s="557"/>
      <c r="E788" s="558"/>
      <c r="F788" s="559"/>
      <c r="G788" s="59"/>
      <c r="H788" s="14"/>
      <c r="I788" s="14"/>
      <c r="J788" s="14"/>
      <c r="K788" s="15"/>
      <c r="L788" s="15"/>
      <c r="M788" s="15"/>
      <c r="N788" s="15"/>
      <c r="O788" s="15"/>
    </row>
    <row r="789" spans="2:7" ht="12.75">
      <c r="B789" s="1388" t="s">
        <v>11</v>
      </c>
      <c r="C789" s="1388"/>
      <c r="D789" s="1388"/>
      <c r="E789" s="1388"/>
      <c r="F789" s="1388"/>
      <c r="G789" s="1388"/>
    </row>
    <row r="790" spans="1:10" ht="12.75" customHeight="1" thickBot="1">
      <c r="A790" s="47"/>
      <c r="B790" s="50" t="s">
        <v>11</v>
      </c>
      <c r="C790" s="16"/>
      <c r="D790" s="4"/>
      <c r="E790" s="16"/>
      <c r="F790" s="16"/>
      <c r="G790" s="15"/>
      <c r="H790" s="15"/>
      <c r="I790" s="4"/>
      <c r="J790" s="4"/>
    </row>
    <row r="791" spans="1:10" ht="12.75" customHeight="1" thickTop="1">
      <c r="A791" s="47"/>
      <c r="B791" s="21" t="s">
        <v>84</v>
      </c>
      <c r="C791" s="22">
        <v>0.06</v>
      </c>
      <c r="D791" s="40" t="s">
        <v>7</v>
      </c>
      <c r="E791" s="57">
        <f>E779</f>
        <v>5023.96</v>
      </c>
      <c r="F791" s="23">
        <f>ROUND(C791*E791,2)</f>
        <v>301.44</v>
      </c>
      <c r="G791" s="48"/>
      <c r="H791" s="15"/>
      <c r="I791" s="4"/>
      <c r="J791" s="4"/>
    </row>
    <row r="792" spans="1:10" ht="12.75" customHeight="1">
      <c r="A792" s="47"/>
      <c r="B792" s="27" t="s">
        <v>63</v>
      </c>
      <c r="C792" s="28">
        <v>0.33</v>
      </c>
      <c r="D792" s="41" t="s">
        <v>64</v>
      </c>
      <c r="E792" s="58">
        <v>45</v>
      </c>
      <c r="F792" s="353">
        <f>ROUND(C792*E792,2)</f>
        <v>14.85</v>
      </c>
      <c r="G792" s="48"/>
      <c r="H792" s="15"/>
      <c r="I792" s="4"/>
      <c r="J792" s="4"/>
    </row>
    <row r="793" spans="1:10" ht="12.75" customHeight="1">
      <c r="A793" s="47"/>
      <c r="B793" s="27" t="s">
        <v>85</v>
      </c>
      <c r="C793" s="28">
        <v>1</v>
      </c>
      <c r="D793" s="41" t="s">
        <v>66</v>
      </c>
      <c r="E793" s="58">
        <v>6</v>
      </c>
      <c r="F793" s="353">
        <f>ROUND(C793*E793,2)</f>
        <v>6</v>
      </c>
      <c r="G793" s="48"/>
      <c r="H793" s="15"/>
      <c r="I793" s="4"/>
      <c r="J793" s="4"/>
    </row>
    <row r="794" spans="1:10" ht="12.75" customHeight="1">
      <c r="A794" s="47"/>
      <c r="B794" s="27" t="s">
        <v>15</v>
      </c>
      <c r="C794" s="28">
        <v>1</v>
      </c>
      <c r="D794" s="41" t="s">
        <v>8</v>
      </c>
      <c r="E794" s="58">
        <v>100</v>
      </c>
      <c r="F794" s="353">
        <f>ROUND(C794*E794,2)</f>
        <v>100</v>
      </c>
      <c r="G794" s="48"/>
      <c r="H794" s="15"/>
      <c r="I794" s="4"/>
      <c r="J794" s="4"/>
    </row>
    <row r="795" spans="1:10" ht="12.75" customHeight="1" thickBot="1">
      <c r="A795" s="47"/>
      <c r="B795" s="35"/>
      <c r="C795" s="42"/>
      <c r="D795" s="85" t="s">
        <v>80</v>
      </c>
      <c r="E795" s="30" t="s">
        <v>81</v>
      </c>
      <c r="F795" s="45">
        <f>ROUND(SUM(F791:F794),2)</f>
        <v>422.29</v>
      </c>
      <c r="G795" s="59"/>
      <c r="H795" s="15"/>
      <c r="I795" s="4"/>
      <c r="J795" s="4"/>
    </row>
    <row r="796" spans="2:6" ht="13.5" thickTop="1">
      <c r="B796" s="8"/>
      <c r="C796" s="368"/>
      <c r="D796" s="385"/>
      <c r="E796" s="368"/>
      <c r="F796" s="368"/>
    </row>
    <row r="797" spans="2:7" ht="12.75">
      <c r="B797" s="1389" t="s">
        <v>3</v>
      </c>
      <c r="C797" s="1389"/>
      <c r="D797" s="1389"/>
      <c r="E797" s="1389"/>
      <c r="F797" s="1389"/>
      <c r="G797" s="1389"/>
    </row>
    <row r="798" spans="1:15" ht="12.75" customHeight="1" thickBot="1">
      <c r="A798" s="47"/>
      <c r="B798" s="18" t="s">
        <v>3</v>
      </c>
      <c r="C798" s="16"/>
      <c r="D798" s="17"/>
      <c r="E798" s="16"/>
      <c r="F798" s="16"/>
      <c r="G798" s="15"/>
      <c r="H798" s="14"/>
      <c r="I798" s="14"/>
      <c r="J798" s="14"/>
      <c r="K798" s="15"/>
      <c r="L798" s="15"/>
      <c r="M798" s="15"/>
      <c r="N798" s="15"/>
      <c r="O798" s="15"/>
    </row>
    <row r="799" spans="1:15" ht="12.75" customHeight="1" thickTop="1">
      <c r="A799" s="47"/>
      <c r="B799" s="21" t="s">
        <v>62</v>
      </c>
      <c r="C799" s="22">
        <v>0.03</v>
      </c>
      <c r="D799" s="54" t="s">
        <v>7</v>
      </c>
      <c r="E799" s="57">
        <f>E95</f>
        <v>4794.42</v>
      </c>
      <c r="F799" s="23">
        <f>ROUND(C799*E799,2)</f>
        <v>143.83</v>
      </c>
      <c r="G799" s="48"/>
      <c r="H799" s="14"/>
      <c r="I799" s="14"/>
      <c r="J799" s="14"/>
      <c r="K799" s="15"/>
      <c r="L799" s="15"/>
      <c r="M799" s="15"/>
      <c r="N799" s="15"/>
      <c r="O799" s="15"/>
    </row>
    <row r="800" spans="1:15" ht="12.75" customHeight="1">
      <c r="A800" s="47"/>
      <c r="B800" s="27" t="s">
        <v>63</v>
      </c>
      <c r="C800" s="28">
        <v>0.03</v>
      </c>
      <c r="D800" s="55" t="s">
        <v>64</v>
      </c>
      <c r="E800" s="58">
        <v>45</v>
      </c>
      <c r="F800" s="353">
        <f>ROUND(C800*E800,2)</f>
        <v>1.35</v>
      </c>
      <c r="G800" s="48"/>
      <c r="H800" s="14"/>
      <c r="I800" s="14"/>
      <c r="J800" s="14"/>
      <c r="K800" s="15"/>
      <c r="L800" s="15"/>
      <c r="M800" s="15"/>
      <c r="N800" s="15"/>
      <c r="O800" s="15"/>
    </row>
    <row r="801" spans="1:15" ht="12.75" customHeight="1">
      <c r="A801" s="47"/>
      <c r="B801" s="27" t="s">
        <v>65</v>
      </c>
      <c r="C801" s="28">
        <v>1</v>
      </c>
      <c r="D801" s="55" t="s">
        <v>66</v>
      </c>
      <c r="E801" s="58">
        <v>6</v>
      </c>
      <c r="F801" s="353">
        <f>ROUND(C801*E801,2)</f>
        <v>6</v>
      </c>
      <c r="G801" s="48"/>
      <c r="H801" s="14"/>
      <c r="I801" s="14"/>
      <c r="J801" s="14"/>
      <c r="K801" s="15"/>
      <c r="L801" s="15"/>
      <c r="M801" s="15"/>
      <c r="N801" s="15"/>
      <c r="O801" s="15"/>
    </row>
    <row r="802" spans="1:15" ht="12.75" customHeight="1">
      <c r="A802" s="47"/>
      <c r="B802" s="27" t="s">
        <v>15</v>
      </c>
      <c r="C802" s="28">
        <v>1</v>
      </c>
      <c r="D802" s="55" t="s">
        <v>8</v>
      </c>
      <c r="E802" s="58">
        <v>95.62</v>
      </c>
      <c r="F802" s="353">
        <f>ROUND(C802*E802,2)</f>
        <v>95.62</v>
      </c>
      <c r="G802" s="48"/>
      <c r="H802" s="14"/>
      <c r="I802" s="14"/>
      <c r="J802" s="14"/>
      <c r="K802" s="15"/>
      <c r="L802" s="15"/>
      <c r="M802" s="15"/>
      <c r="N802" s="15"/>
      <c r="O802" s="15"/>
    </row>
    <row r="803" spans="1:15" ht="12.75" customHeight="1" thickBot="1">
      <c r="A803" s="47"/>
      <c r="B803" s="35"/>
      <c r="C803" s="42"/>
      <c r="D803" s="56"/>
      <c r="E803" s="44" t="s">
        <v>47</v>
      </c>
      <c r="F803" s="45">
        <f>ROUND(SUM(F799:F802),2)</f>
        <v>246.8</v>
      </c>
      <c r="G803" s="59"/>
      <c r="H803" s="14"/>
      <c r="I803" s="14"/>
      <c r="J803" s="14"/>
      <c r="K803" s="15"/>
      <c r="L803" s="15"/>
      <c r="M803" s="15"/>
      <c r="N803" s="15"/>
      <c r="O803" s="15"/>
    </row>
    <row r="804" spans="1:15" ht="13.5" customHeight="1" thickTop="1">
      <c r="A804" s="47"/>
      <c r="B804" s="60" t="s">
        <v>67</v>
      </c>
      <c r="C804" s="61">
        <f>($C$79*6*$C$95)/128</f>
        <v>0.01</v>
      </c>
      <c r="D804" s="62" t="s">
        <v>25</v>
      </c>
      <c r="E804" s="63">
        <v>330.6</v>
      </c>
      <c r="F804" s="64">
        <f>(C804*E804)+F803</f>
        <v>250.11</v>
      </c>
      <c r="G804" s="65"/>
      <c r="H804" s="14"/>
      <c r="I804" s="14"/>
      <c r="J804" s="14"/>
      <c r="K804" s="15"/>
      <c r="L804" s="15"/>
      <c r="M804" s="15"/>
      <c r="N804" s="15"/>
      <c r="O804" s="15"/>
    </row>
    <row r="805" spans="1:15" ht="13.5" customHeight="1" thickBot="1">
      <c r="A805" s="47"/>
      <c r="B805" s="66" t="s">
        <v>68</v>
      </c>
      <c r="C805" s="42">
        <f>($C$79*4.5*$C$95)/128</f>
        <v>0.01</v>
      </c>
      <c r="D805" s="67" t="s">
        <v>25</v>
      </c>
      <c r="E805" s="68">
        <v>749.36</v>
      </c>
      <c r="F805" s="69">
        <f>(C805*E805)+F803</f>
        <v>254.29</v>
      </c>
      <c r="G805" s="65"/>
      <c r="H805" s="14"/>
      <c r="I805" s="14"/>
      <c r="J805" s="14"/>
      <c r="K805" s="15"/>
      <c r="L805" s="15"/>
      <c r="M805" s="15"/>
      <c r="N805" s="15"/>
      <c r="O805" s="15"/>
    </row>
    <row r="806" spans="1:15" ht="13.5" customHeight="1" thickTop="1">
      <c r="A806" s="47"/>
      <c r="B806" s="92"/>
      <c r="C806" s="38"/>
      <c r="D806" s="557"/>
      <c r="E806" s="560"/>
      <c r="F806" s="559"/>
      <c r="G806" s="65"/>
      <c r="H806" s="14"/>
      <c r="I806" s="14"/>
      <c r="J806" s="14"/>
      <c r="K806" s="15"/>
      <c r="L806" s="15"/>
      <c r="M806" s="15"/>
      <c r="N806" s="15"/>
      <c r="O806" s="15"/>
    </row>
    <row r="807" spans="1:15" ht="13.5" customHeight="1">
      <c r="A807" s="47"/>
      <c r="B807" s="1388" t="s">
        <v>14</v>
      </c>
      <c r="C807" s="1388"/>
      <c r="D807" s="1388"/>
      <c r="E807" s="1388"/>
      <c r="F807" s="1388"/>
      <c r="G807" s="1388"/>
      <c r="H807" s="14"/>
      <c r="I807" s="14"/>
      <c r="J807" s="14"/>
      <c r="K807" s="15"/>
      <c r="L807" s="15"/>
      <c r="M807" s="15"/>
      <c r="N807" s="15"/>
      <c r="O807" s="15"/>
    </row>
    <row r="808" spans="1:15" ht="12.75" customHeight="1" thickBot="1">
      <c r="A808" s="47"/>
      <c r="B808" s="50" t="s">
        <v>14</v>
      </c>
      <c r="C808" s="16"/>
      <c r="D808" s="4"/>
      <c r="E808" s="16"/>
      <c r="F808" s="16"/>
      <c r="G808" s="15"/>
      <c r="H808" s="14"/>
      <c r="I808" s="14"/>
      <c r="J808" s="14"/>
      <c r="K808" s="15"/>
      <c r="L808" s="15"/>
      <c r="M808" s="15"/>
      <c r="N808" s="15"/>
      <c r="O808" s="15"/>
    </row>
    <row r="809" spans="1:15" ht="12.75" customHeight="1" thickTop="1">
      <c r="A809" s="47"/>
      <c r="B809" s="21" t="s">
        <v>69</v>
      </c>
      <c r="C809" s="22">
        <v>0.03</v>
      </c>
      <c r="D809" s="54" t="s">
        <v>7</v>
      </c>
      <c r="E809" s="57">
        <f>E799</f>
        <v>4794.42</v>
      </c>
      <c r="F809" s="23">
        <f>ROUND(C809*E809,2)</f>
        <v>143.83</v>
      </c>
      <c r="G809" s="48"/>
      <c r="H809" s="14"/>
      <c r="I809" s="14"/>
      <c r="J809" s="14"/>
      <c r="K809" s="15"/>
      <c r="L809" s="15"/>
      <c r="M809" s="15"/>
      <c r="N809" s="15"/>
      <c r="O809" s="15"/>
    </row>
    <row r="810" spans="1:15" ht="12.75" customHeight="1">
      <c r="A810" s="47"/>
      <c r="B810" s="27" t="s">
        <v>63</v>
      </c>
      <c r="C810" s="28">
        <v>0.03</v>
      </c>
      <c r="D810" s="55" t="s">
        <v>64</v>
      </c>
      <c r="E810" s="58">
        <v>45</v>
      </c>
      <c r="F810" s="353">
        <f>ROUND(C810*E810,2)</f>
        <v>1.35</v>
      </c>
      <c r="G810" s="48"/>
      <c r="H810" s="14"/>
      <c r="I810" s="14"/>
      <c r="J810" s="14"/>
      <c r="K810" s="15"/>
      <c r="L810" s="15"/>
      <c r="M810" s="15"/>
      <c r="N810" s="15"/>
      <c r="O810" s="15"/>
    </row>
    <row r="811" spans="1:15" ht="12.75" customHeight="1">
      <c r="A811" s="47"/>
      <c r="B811" s="27" t="s">
        <v>65</v>
      </c>
      <c r="C811" s="28">
        <v>1</v>
      </c>
      <c r="D811" s="55" t="s">
        <v>66</v>
      </c>
      <c r="E811" s="58">
        <v>6</v>
      </c>
      <c r="F811" s="353">
        <f>ROUND(C811*E811,2)</f>
        <v>6</v>
      </c>
      <c r="G811" s="48"/>
      <c r="H811" s="14"/>
      <c r="I811" s="14"/>
      <c r="J811" s="14"/>
      <c r="K811" s="15"/>
      <c r="L811" s="15"/>
      <c r="M811" s="15"/>
      <c r="N811" s="15"/>
      <c r="O811" s="15"/>
    </row>
    <row r="812" spans="1:15" ht="12.75" customHeight="1">
      <c r="A812" s="47"/>
      <c r="B812" s="27" t="s">
        <v>70</v>
      </c>
      <c r="C812" s="28">
        <v>0.05</v>
      </c>
      <c r="D812" s="55" t="s">
        <v>27</v>
      </c>
      <c r="E812" s="58">
        <f>F719</f>
        <v>10.55</v>
      </c>
      <c r="F812" s="353">
        <f>ROUND(C812*E812,2)</f>
        <v>0.53</v>
      </c>
      <c r="G812" s="48"/>
      <c r="H812" s="14"/>
      <c r="I812" s="14"/>
      <c r="J812" s="14"/>
      <c r="K812" s="15"/>
      <c r="L812" s="15"/>
      <c r="M812" s="15"/>
      <c r="N812" s="15"/>
      <c r="O812" s="15"/>
    </row>
    <row r="813" spans="1:15" ht="12.75" customHeight="1">
      <c r="A813" s="47"/>
      <c r="B813" s="27" t="s">
        <v>71</v>
      </c>
      <c r="C813" s="28">
        <v>1</v>
      </c>
      <c r="D813" s="55" t="s">
        <v>8</v>
      </c>
      <c r="E813" s="58">
        <v>110.26</v>
      </c>
      <c r="F813" s="353">
        <f>ROUND(C813*E813,2)</f>
        <v>110.26</v>
      </c>
      <c r="G813" s="48"/>
      <c r="H813" s="14"/>
      <c r="I813" s="14"/>
      <c r="J813" s="14"/>
      <c r="K813" s="15"/>
      <c r="L813" s="15"/>
      <c r="M813" s="15"/>
      <c r="N813" s="15"/>
      <c r="O813" s="15"/>
    </row>
    <row r="814" spans="1:15" ht="12.75" customHeight="1" thickBot="1">
      <c r="A814" s="47"/>
      <c r="B814" s="35"/>
      <c r="C814" s="42"/>
      <c r="D814" s="43"/>
      <c r="E814" s="44" t="s">
        <v>47</v>
      </c>
      <c r="F814" s="45">
        <f>ROUND(SUM(F809:F813),2)</f>
        <v>261.97</v>
      </c>
      <c r="G814" s="59"/>
      <c r="H814" s="14"/>
      <c r="I814" s="14"/>
      <c r="J814" s="14"/>
      <c r="K814" s="15"/>
      <c r="L814" s="15"/>
      <c r="M814" s="15"/>
      <c r="N814" s="15"/>
      <c r="O814" s="15"/>
    </row>
    <row r="815" spans="1:15" ht="12.75" customHeight="1" thickBot="1" thickTop="1">
      <c r="A815" s="47"/>
      <c r="B815" s="70" t="s">
        <v>72</v>
      </c>
      <c r="C815" s="71"/>
      <c r="D815" s="72"/>
      <c r="E815" s="73"/>
      <c r="F815" s="74">
        <f>ROUND(F814-F812,2)</f>
        <v>261.44</v>
      </c>
      <c r="G815" s="59"/>
      <c r="H815" s="14"/>
      <c r="I815" s="14"/>
      <c r="J815" s="14"/>
      <c r="K815" s="15"/>
      <c r="L815" s="15"/>
      <c r="M815" s="15"/>
      <c r="N815" s="15"/>
      <c r="O815" s="15"/>
    </row>
    <row r="816" spans="1:15" ht="12.75" customHeight="1" thickTop="1">
      <c r="A816" s="47"/>
      <c r="B816" s="75" t="s">
        <v>73</v>
      </c>
      <c r="C816" s="22">
        <f>($C$79*6*$C$104)/128</f>
        <v>0.01</v>
      </c>
      <c r="D816" s="76" t="s">
        <v>10</v>
      </c>
      <c r="E816" s="63">
        <v>330.6</v>
      </c>
      <c r="F816" s="77">
        <f>(C816*E816)+F815</f>
        <v>264.75</v>
      </c>
      <c r="G816" s="59"/>
      <c r="H816" s="14"/>
      <c r="I816" s="14"/>
      <c r="J816" s="14"/>
      <c r="K816" s="15"/>
      <c r="L816" s="15"/>
      <c r="M816" s="15"/>
      <c r="N816" s="15"/>
      <c r="O816" s="15"/>
    </row>
    <row r="817" spans="1:15" ht="14.25" customHeight="1">
      <c r="A817" s="47"/>
      <c r="B817" s="78" t="s">
        <v>74</v>
      </c>
      <c r="C817" s="28">
        <f>($C$79*6*$C$104)/128</f>
        <v>0.01</v>
      </c>
      <c r="D817" s="79" t="s">
        <v>10</v>
      </c>
      <c r="E817" s="80">
        <v>330.6</v>
      </c>
      <c r="F817" s="81">
        <f>(C817*E817)+F814</f>
        <v>265.28</v>
      </c>
      <c r="G817" s="82"/>
      <c r="H817" s="14"/>
      <c r="I817" s="14"/>
      <c r="J817" s="14"/>
      <c r="K817" s="15"/>
      <c r="L817" s="15"/>
      <c r="M817" s="15"/>
      <c r="N817" s="15"/>
      <c r="O817" s="15"/>
    </row>
    <row r="818" spans="1:15" ht="14.25" customHeight="1">
      <c r="A818" s="47"/>
      <c r="B818" s="78" t="s">
        <v>75</v>
      </c>
      <c r="C818" s="28">
        <f>($C$79*4.5*$C$104)/128</f>
        <v>0.01</v>
      </c>
      <c r="D818" s="79" t="s">
        <v>10</v>
      </c>
      <c r="E818" s="80">
        <v>749.36</v>
      </c>
      <c r="F818" s="81">
        <f>(C818*E818)+F815</f>
        <v>268.93</v>
      </c>
      <c r="G818" s="82"/>
      <c r="H818" s="14"/>
      <c r="I818" s="14"/>
      <c r="J818" s="14"/>
      <c r="K818" s="15"/>
      <c r="L818" s="15"/>
      <c r="M818" s="15"/>
      <c r="N818" s="15"/>
      <c r="O818" s="15"/>
    </row>
    <row r="819" spans="1:15" ht="14.25" customHeight="1" thickBot="1">
      <c r="A819" s="47"/>
      <c r="B819" s="66" t="s">
        <v>76</v>
      </c>
      <c r="C819" s="42">
        <f>($C$79*4.5*$C$104)/128</f>
        <v>0.01</v>
      </c>
      <c r="D819" s="67" t="s">
        <v>10</v>
      </c>
      <c r="E819" s="83">
        <v>749.36</v>
      </c>
      <c r="F819" s="81">
        <f>(C819*E819)+F814</f>
        <v>269.46</v>
      </c>
      <c r="G819" s="82"/>
      <c r="H819" s="14"/>
      <c r="I819" s="14"/>
      <c r="J819" s="14"/>
      <c r="K819" s="15"/>
      <c r="L819" s="15"/>
      <c r="M819" s="15"/>
      <c r="N819" s="15"/>
      <c r="O819" s="15"/>
    </row>
    <row r="820" spans="1:15" ht="9" customHeight="1" thickTop="1">
      <c r="A820" s="47"/>
      <c r="B820" s="4"/>
      <c r="C820" s="16"/>
      <c r="D820" s="17"/>
      <c r="E820" s="52"/>
      <c r="F820" s="84"/>
      <c r="G820" s="82"/>
      <c r="H820" s="14"/>
      <c r="I820" s="14"/>
      <c r="J820" s="14"/>
      <c r="K820" s="15"/>
      <c r="L820" s="15"/>
      <c r="M820" s="15"/>
      <c r="N820" s="15"/>
      <c r="O820" s="15"/>
    </row>
    <row r="821" spans="1:15" ht="9" customHeight="1">
      <c r="A821" s="47"/>
      <c r="B821" s="4"/>
      <c r="C821" s="16"/>
      <c r="D821" s="17"/>
      <c r="E821" s="52"/>
      <c r="F821" s="84"/>
      <c r="G821" s="82"/>
      <c r="H821" s="14"/>
      <c r="I821" s="14"/>
      <c r="J821" s="14"/>
      <c r="K821" s="15"/>
      <c r="L821" s="15"/>
      <c r="M821" s="15"/>
      <c r="N821" s="15"/>
      <c r="O821" s="15"/>
    </row>
    <row r="822" spans="2:6" ht="12.75">
      <c r="B822" s="1388" t="s">
        <v>86</v>
      </c>
      <c r="C822" s="1388"/>
      <c r="D822" s="1388"/>
      <c r="E822" s="1388"/>
      <c r="F822" s="1388"/>
    </row>
    <row r="823" spans="1:10" ht="12.75" customHeight="1" thickBot="1">
      <c r="A823" s="47"/>
      <c r="B823" s="50" t="s">
        <v>86</v>
      </c>
      <c r="C823" s="16"/>
      <c r="D823" s="17"/>
      <c r="E823" s="16"/>
      <c r="F823" s="16"/>
      <c r="G823" s="15"/>
      <c r="H823" s="14"/>
      <c r="I823" s="4"/>
      <c r="J823" s="4"/>
    </row>
    <row r="824" spans="1:15" ht="12.75" customHeight="1" thickTop="1">
      <c r="A824" s="47"/>
      <c r="B824" s="21" t="s">
        <v>87</v>
      </c>
      <c r="C824" s="94">
        <v>0.0043</v>
      </c>
      <c r="D824" s="40" t="s">
        <v>7</v>
      </c>
      <c r="E824" s="57">
        <f>E809</f>
        <v>4794.42</v>
      </c>
      <c r="F824" s="23">
        <f>ROUND(C824*E824,2)</f>
        <v>20.62</v>
      </c>
      <c r="G824" s="48"/>
      <c r="H824" s="14"/>
      <c r="I824" s="14"/>
      <c r="J824" s="14"/>
      <c r="K824" s="15"/>
      <c r="L824" s="15"/>
      <c r="M824" s="15"/>
      <c r="N824" s="15"/>
      <c r="O824" s="15"/>
    </row>
    <row r="825" spans="1:15" ht="12.75" customHeight="1">
      <c r="A825" s="47"/>
      <c r="B825" s="27" t="s">
        <v>63</v>
      </c>
      <c r="C825" s="28">
        <v>0.11</v>
      </c>
      <c r="D825" s="41" t="s">
        <v>64</v>
      </c>
      <c r="E825" s="58">
        <v>45</v>
      </c>
      <c r="F825" s="353">
        <f>ROUND(C825*E825,2)</f>
        <v>4.95</v>
      </c>
      <c r="G825" s="48"/>
      <c r="H825" s="14"/>
      <c r="I825" s="14"/>
      <c r="J825" s="14"/>
      <c r="K825" s="15"/>
      <c r="L825" s="15"/>
      <c r="M825" s="15"/>
      <c r="N825" s="15"/>
      <c r="O825" s="15"/>
    </row>
    <row r="826" spans="1:15" ht="12.75" customHeight="1">
      <c r="A826" s="47"/>
      <c r="B826" s="27" t="s">
        <v>15</v>
      </c>
      <c r="C826" s="28">
        <v>1</v>
      </c>
      <c r="D826" s="41" t="s">
        <v>20</v>
      </c>
      <c r="E826" s="58">
        <v>35</v>
      </c>
      <c r="F826" s="353">
        <f>ROUND(C826*E826,2)</f>
        <v>35</v>
      </c>
      <c r="G826" s="48"/>
      <c r="H826" s="14"/>
      <c r="I826" s="14"/>
      <c r="J826" s="14"/>
      <c r="K826" s="15"/>
      <c r="L826" s="15"/>
      <c r="M826" s="15"/>
      <c r="N826" s="15"/>
      <c r="O826" s="15"/>
    </row>
    <row r="827" spans="1:15" ht="12.75" customHeight="1" thickBot="1">
      <c r="A827" s="47"/>
      <c r="B827" s="35"/>
      <c r="C827" s="42"/>
      <c r="D827" s="85" t="s">
        <v>80</v>
      </c>
      <c r="E827" s="44" t="s">
        <v>88</v>
      </c>
      <c r="F827" s="45">
        <f>ROUND(SUM(F824:F826),2)</f>
        <v>60.57</v>
      </c>
      <c r="G827" s="59"/>
      <c r="H827" s="14"/>
      <c r="I827" s="14"/>
      <c r="J827" s="14"/>
      <c r="K827" s="15"/>
      <c r="L827" s="15"/>
      <c r="M827" s="15"/>
      <c r="N827" s="15"/>
      <c r="O827" s="15"/>
    </row>
    <row r="828" spans="1:15" ht="12.75" customHeight="1" thickTop="1">
      <c r="A828" s="47"/>
      <c r="B828" s="37"/>
      <c r="C828" s="38"/>
      <c r="D828" s="93"/>
      <c r="E828" s="46"/>
      <c r="F828" s="46"/>
      <c r="G828" s="59"/>
      <c r="H828" s="14"/>
      <c r="I828" s="14"/>
      <c r="J828" s="14"/>
      <c r="K828" s="15"/>
      <c r="L828" s="15"/>
      <c r="M828" s="15"/>
      <c r="N828" s="15"/>
      <c r="O828" s="15"/>
    </row>
    <row r="829" spans="1:15" ht="12.75" customHeight="1">
      <c r="A829" s="47"/>
      <c r="B829" s="37"/>
      <c r="C829" s="38"/>
      <c r="D829" s="93"/>
      <c r="E829" s="46"/>
      <c r="F829" s="46"/>
      <c r="G829" s="59"/>
      <c r="H829" s="14"/>
      <c r="I829" s="14"/>
      <c r="J829" s="14"/>
      <c r="K829" s="15"/>
      <c r="L829" s="15"/>
      <c r="M829" s="15"/>
      <c r="N829" s="15"/>
      <c r="O829" s="15"/>
    </row>
    <row r="830" spans="1:15" ht="12.75" customHeight="1">
      <c r="A830" s="47"/>
      <c r="B830" s="1383" t="s">
        <v>151</v>
      </c>
      <c r="C830" s="1383"/>
      <c r="D830" s="1383"/>
      <c r="E830" s="1383"/>
      <c r="F830" s="1383"/>
      <c r="G830" s="1383"/>
      <c r="H830" s="14"/>
      <c r="I830" s="14"/>
      <c r="J830" s="14"/>
      <c r="K830" s="15"/>
      <c r="L830" s="15"/>
      <c r="M830" s="15"/>
      <c r="N830" s="15"/>
      <c r="O830" s="15"/>
    </row>
    <row r="831" spans="2:6" ht="12.75">
      <c r="B831" s="4"/>
      <c r="C831" s="16"/>
      <c r="D831" s="382"/>
      <c r="E831" s="16"/>
      <c r="F831" s="16"/>
    </row>
    <row r="832" spans="2:6" ht="12.75">
      <c r="B832" s="4"/>
      <c r="C832" s="16"/>
      <c r="D832" s="382"/>
      <c r="E832" s="16"/>
      <c r="F832" s="16"/>
    </row>
    <row r="833" spans="2:6" ht="15">
      <c r="B833" s="121" t="s">
        <v>151</v>
      </c>
      <c r="C833" s="122"/>
      <c r="D833" s="122"/>
      <c r="E833" s="122"/>
      <c r="F833" s="122"/>
    </row>
    <row r="834" spans="2:6" ht="13.5" thickBot="1">
      <c r="B834" s="123" t="s">
        <v>152</v>
      </c>
      <c r="C834" s="124"/>
      <c r="D834" s="124"/>
      <c r="E834" s="124"/>
      <c r="F834" s="125"/>
    </row>
    <row r="835" spans="2:6" ht="13.5" thickTop="1">
      <c r="B835" s="126" t="s">
        <v>227</v>
      </c>
      <c r="C835" s="127">
        <v>1.05</v>
      </c>
      <c r="D835" s="128" t="s">
        <v>7</v>
      </c>
      <c r="E835" s="129">
        <f>E757</f>
        <v>5982.82</v>
      </c>
      <c r="F835" s="23">
        <f>ROUND(C835*E835,2)</f>
        <v>6281.96</v>
      </c>
    </row>
    <row r="836" spans="2:6" ht="12.75">
      <c r="B836" s="130" t="s">
        <v>153</v>
      </c>
      <c r="C836" s="131">
        <v>0.6</v>
      </c>
      <c r="D836" s="132" t="s">
        <v>33</v>
      </c>
      <c r="E836" s="133">
        <f>F793</f>
        <v>6</v>
      </c>
      <c r="F836" s="353">
        <f>ROUND(C836*E836,2)</f>
        <v>3.6</v>
      </c>
    </row>
    <row r="837" spans="2:6" ht="12.75">
      <c r="B837" s="134" t="s">
        <v>15</v>
      </c>
      <c r="C837" s="135">
        <v>11.11</v>
      </c>
      <c r="D837" s="136" t="s">
        <v>20</v>
      </c>
      <c r="E837" s="137">
        <v>61.2</v>
      </c>
      <c r="F837" s="353">
        <f>ROUND(C837*E837,2)</f>
        <v>679.93</v>
      </c>
    </row>
    <row r="838" spans="2:6" ht="13.5" thickBot="1">
      <c r="B838" s="138"/>
      <c r="C838" s="139"/>
      <c r="D838" s="139"/>
      <c r="E838" s="140"/>
      <c r="F838" s="141">
        <f>SUM(F835:F837)</f>
        <v>6965.49</v>
      </c>
    </row>
    <row r="839" spans="2:6" ht="14.25" thickBot="1" thickTop="1">
      <c r="B839" s="142"/>
      <c r="C839" s="142"/>
      <c r="D839" s="142"/>
      <c r="E839" s="142"/>
      <c r="F839" s="143"/>
    </row>
    <row r="840" spans="2:6" ht="13.5" thickTop="1">
      <c r="B840" s="314" t="s">
        <v>0</v>
      </c>
      <c r="C840" s="315">
        <v>12</v>
      </c>
      <c r="D840" s="96" t="s">
        <v>20</v>
      </c>
      <c r="E840" s="316">
        <v>60</v>
      </c>
      <c r="F840" s="23">
        <f aca="true" t="shared" si="10" ref="F840:F860">ROUND(C840*E840,2)</f>
        <v>720</v>
      </c>
    </row>
    <row r="841" spans="2:6" ht="12.75">
      <c r="B841" s="317" t="s">
        <v>154</v>
      </c>
      <c r="C841" s="148">
        <v>6.75</v>
      </c>
      <c r="D841" s="145" t="s">
        <v>7</v>
      </c>
      <c r="E841" s="146">
        <v>240.23</v>
      </c>
      <c r="F841" s="353">
        <f t="shared" si="10"/>
        <v>1621.55</v>
      </c>
    </row>
    <row r="842" spans="2:6" ht="12.75">
      <c r="B842" s="318" t="s">
        <v>155</v>
      </c>
      <c r="C842" s="144">
        <v>3.42</v>
      </c>
      <c r="D842" s="145" t="s">
        <v>7</v>
      </c>
      <c r="E842" s="146">
        <v>70.16</v>
      </c>
      <c r="F842" s="353">
        <f t="shared" si="10"/>
        <v>239.95</v>
      </c>
    </row>
    <row r="843" spans="2:6" ht="12.75">
      <c r="B843" s="318" t="s">
        <v>412</v>
      </c>
      <c r="C843" s="484">
        <v>4</v>
      </c>
      <c r="D843" s="145" t="s">
        <v>7</v>
      </c>
      <c r="E843" s="146">
        <v>75</v>
      </c>
      <c r="F843" s="353">
        <f t="shared" si="10"/>
        <v>300</v>
      </c>
    </row>
    <row r="844" spans="2:6" ht="12.75">
      <c r="B844" s="318" t="s">
        <v>156</v>
      </c>
      <c r="C844" s="144">
        <v>1.35</v>
      </c>
      <c r="D844" s="145" t="s">
        <v>7</v>
      </c>
      <c r="E844" s="147">
        <f>+F838</f>
        <v>6965.49</v>
      </c>
      <c r="F844" s="353">
        <f t="shared" si="10"/>
        <v>9403.41</v>
      </c>
    </row>
    <row r="845" spans="2:6" ht="12.75">
      <c r="B845" s="318" t="s">
        <v>157</v>
      </c>
      <c r="C845" s="148">
        <v>7.2</v>
      </c>
      <c r="D845" s="145" t="s">
        <v>8</v>
      </c>
      <c r="E845" s="149">
        <v>869.1</v>
      </c>
      <c r="F845" s="353">
        <f t="shared" si="10"/>
        <v>6257.52</v>
      </c>
    </row>
    <row r="846" spans="2:6" ht="12.75">
      <c r="B846" s="318" t="s">
        <v>158</v>
      </c>
      <c r="C846" s="148">
        <v>12</v>
      </c>
      <c r="D846" s="145" t="s">
        <v>105</v>
      </c>
      <c r="E846" s="149">
        <f>(F711*0.09)/12</f>
        <v>3.3</v>
      </c>
      <c r="F846" s="353">
        <f t="shared" si="10"/>
        <v>39.6</v>
      </c>
    </row>
    <row r="847" spans="2:6" ht="12.75">
      <c r="B847" s="317" t="s">
        <v>159</v>
      </c>
      <c r="C847" s="148">
        <v>4</v>
      </c>
      <c r="D847" s="145" t="s">
        <v>124</v>
      </c>
      <c r="E847" s="330">
        <v>504.6</v>
      </c>
      <c r="F847" s="353">
        <f t="shared" si="10"/>
        <v>2018.4</v>
      </c>
    </row>
    <row r="848" spans="2:6" ht="12.75">
      <c r="B848" s="318" t="s">
        <v>160</v>
      </c>
      <c r="C848" s="148">
        <v>2</v>
      </c>
      <c r="D848" s="145" t="s">
        <v>124</v>
      </c>
      <c r="E848" s="330">
        <v>609</v>
      </c>
      <c r="F848" s="353">
        <f t="shared" si="10"/>
        <v>1218</v>
      </c>
    </row>
    <row r="849" spans="2:6" ht="12.75">
      <c r="B849" s="317" t="s">
        <v>161</v>
      </c>
      <c r="C849" s="148">
        <v>21.6</v>
      </c>
      <c r="D849" s="145" t="s">
        <v>8</v>
      </c>
      <c r="E849" s="330">
        <v>204.05</v>
      </c>
      <c r="F849" s="353">
        <f t="shared" si="10"/>
        <v>4407.48</v>
      </c>
    </row>
    <row r="850" spans="2:6" ht="12.75">
      <c r="B850" s="318" t="s">
        <v>162</v>
      </c>
      <c r="C850" s="148">
        <v>2</v>
      </c>
      <c r="D850" s="145" t="s">
        <v>124</v>
      </c>
      <c r="E850" s="149">
        <v>38</v>
      </c>
      <c r="F850" s="353">
        <f t="shared" si="10"/>
        <v>76</v>
      </c>
    </row>
    <row r="851" spans="2:6" ht="12.75">
      <c r="B851" s="318" t="s">
        <v>163</v>
      </c>
      <c r="C851" s="148">
        <v>3</v>
      </c>
      <c r="D851" s="145" t="s">
        <v>124</v>
      </c>
      <c r="E851" s="330">
        <v>52.2</v>
      </c>
      <c r="F851" s="353">
        <f t="shared" si="10"/>
        <v>156.6</v>
      </c>
    </row>
    <row r="852" spans="2:6" ht="12.75">
      <c r="B852" s="317" t="s">
        <v>164</v>
      </c>
      <c r="C852" s="148">
        <v>4</v>
      </c>
      <c r="D852" s="145" t="s">
        <v>124</v>
      </c>
      <c r="E852" s="330">
        <v>168.2</v>
      </c>
      <c r="F852" s="353">
        <f t="shared" si="10"/>
        <v>672.8</v>
      </c>
    </row>
    <row r="853" spans="2:6" ht="12.75">
      <c r="B853" s="318" t="s">
        <v>165</v>
      </c>
      <c r="C853" s="148">
        <v>72</v>
      </c>
      <c r="D853" s="145" t="s">
        <v>105</v>
      </c>
      <c r="E853" s="146">
        <v>9.3</v>
      </c>
      <c r="F853" s="353">
        <f t="shared" si="10"/>
        <v>669.6</v>
      </c>
    </row>
    <row r="854" spans="2:6" ht="12.75">
      <c r="B854" s="317" t="s">
        <v>166</v>
      </c>
      <c r="C854" s="148">
        <v>1</v>
      </c>
      <c r="D854" s="145" t="s">
        <v>111</v>
      </c>
      <c r="E854" s="149">
        <v>27.6</v>
      </c>
      <c r="F854" s="353">
        <f t="shared" si="10"/>
        <v>27.6</v>
      </c>
    </row>
    <row r="855" spans="2:6" ht="12.75">
      <c r="B855" s="318" t="s">
        <v>167</v>
      </c>
      <c r="C855" s="148">
        <v>10.08</v>
      </c>
      <c r="D855" s="145" t="s">
        <v>8</v>
      </c>
      <c r="E855" s="149">
        <v>255.39</v>
      </c>
      <c r="F855" s="353">
        <f t="shared" si="10"/>
        <v>2574.33</v>
      </c>
    </row>
    <row r="856" spans="2:6" ht="12.75">
      <c r="B856" s="318" t="s">
        <v>168</v>
      </c>
      <c r="C856" s="148">
        <v>34.2</v>
      </c>
      <c r="D856" s="145" t="s">
        <v>8</v>
      </c>
      <c r="E856" s="149">
        <v>130.5</v>
      </c>
      <c r="F856" s="353">
        <f t="shared" si="10"/>
        <v>4463.1</v>
      </c>
    </row>
    <row r="857" spans="2:6" ht="12.75">
      <c r="B857" s="318" t="s">
        <v>169</v>
      </c>
      <c r="C857" s="148">
        <v>2</v>
      </c>
      <c r="D857" s="145" t="s">
        <v>124</v>
      </c>
      <c r="E857" s="330">
        <v>214.6</v>
      </c>
      <c r="F857" s="353">
        <f t="shared" si="10"/>
        <v>429.2</v>
      </c>
    </row>
    <row r="858" spans="2:6" ht="12.75">
      <c r="B858" s="318" t="s">
        <v>170</v>
      </c>
      <c r="C858" s="148">
        <v>6</v>
      </c>
      <c r="D858" s="145" t="s">
        <v>124</v>
      </c>
      <c r="E858" s="330">
        <v>27.84</v>
      </c>
      <c r="F858" s="353">
        <f t="shared" si="10"/>
        <v>167.04</v>
      </c>
    </row>
    <row r="859" spans="2:6" ht="12.75">
      <c r="B859" s="318" t="s">
        <v>15</v>
      </c>
      <c r="C859" s="148">
        <v>12</v>
      </c>
      <c r="D859" s="145" t="s">
        <v>105</v>
      </c>
      <c r="E859" s="149">
        <v>259.8</v>
      </c>
      <c r="F859" s="353">
        <f t="shared" si="10"/>
        <v>3117.6</v>
      </c>
    </row>
    <row r="860" spans="2:6" ht="12.75">
      <c r="B860" s="318" t="s">
        <v>171</v>
      </c>
      <c r="C860" s="148">
        <v>12.6</v>
      </c>
      <c r="D860" s="145" t="s">
        <v>8</v>
      </c>
      <c r="E860" s="149">
        <v>130.5</v>
      </c>
      <c r="F860" s="353">
        <f t="shared" si="10"/>
        <v>1644.3</v>
      </c>
    </row>
    <row r="861" spans="2:6" ht="12.75">
      <c r="B861" s="319" t="s">
        <v>172</v>
      </c>
      <c r="C861" s="150"/>
      <c r="D861" s="150"/>
      <c r="E861" s="151"/>
      <c r="F861" s="320">
        <f>SUM(F840:F860)</f>
        <v>40224.08</v>
      </c>
    </row>
    <row r="862" spans="2:6" ht="13.5" thickBot="1">
      <c r="B862" s="321" t="s">
        <v>173</v>
      </c>
      <c r="C862" s="322"/>
      <c r="D862" s="323"/>
      <c r="E862" s="152" t="s">
        <v>174</v>
      </c>
      <c r="F862" s="324">
        <f>ROUND(F861/12,2)</f>
        <v>3352.01</v>
      </c>
    </row>
    <row r="863" spans="2:6" ht="13.5" thickTop="1">
      <c r="B863" s="21" t="s">
        <v>299</v>
      </c>
      <c r="C863" s="22">
        <v>3</v>
      </c>
      <c r="D863" s="173" t="s">
        <v>124</v>
      </c>
      <c r="E863" s="22">
        <f>F889</f>
        <v>2327.7</v>
      </c>
      <c r="F863" s="353">
        <f>ROUND(C863*E863,2)</f>
        <v>6983.1</v>
      </c>
    </row>
    <row r="864" spans="2:6" ht="12.75">
      <c r="B864" s="319" t="s">
        <v>306</v>
      </c>
      <c r="C864" s="325"/>
      <c r="D864" s="326"/>
      <c r="E864" s="325"/>
      <c r="F864" s="327">
        <f>F861+F863</f>
        <v>47207.18</v>
      </c>
    </row>
    <row r="865" spans="2:6" ht="13.5" thickBot="1">
      <c r="B865" s="321" t="s">
        <v>307</v>
      </c>
      <c r="C865" s="328"/>
      <c r="D865" s="329"/>
      <c r="E865" s="328"/>
      <c r="F865" s="561">
        <f>ROUND(F864/12,2)</f>
        <v>3933.93</v>
      </c>
    </row>
    <row r="866" spans="2:6" ht="13.5" thickTop="1">
      <c r="B866" s="4"/>
      <c r="C866" s="16"/>
      <c r="D866" s="382"/>
      <c r="E866" s="16"/>
      <c r="F866" s="16"/>
    </row>
    <row r="867" spans="2:4" ht="13.5" thickBot="1">
      <c r="B867" s="50" t="s">
        <v>505</v>
      </c>
      <c r="D867" s="2"/>
    </row>
    <row r="868" spans="2:6" ht="13.5" thickTop="1">
      <c r="B868" s="126" t="s">
        <v>227</v>
      </c>
      <c r="C868" s="127">
        <v>1.05</v>
      </c>
      <c r="D868" s="128" t="s">
        <v>7</v>
      </c>
      <c r="E868" s="129">
        <f>E835</f>
        <v>5982.82</v>
      </c>
      <c r="F868" s="23">
        <f>ROUND(C868*E868,2)</f>
        <v>6281.96</v>
      </c>
    </row>
    <row r="869" spans="2:6" ht="12.75">
      <c r="B869" s="130" t="s">
        <v>153</v>
      </c>
      <c r="C869" s="131">
        <v>0.87</v>
      </c>
      <c r="D869" s="132" t="s">
        <v>33</v>
      </c>
      <c r="E869" s="133">
        <f>'[1]ANALISIS'!$E$275</f>
        <v>2645.66</v>
      </c>
      <c r="F869" s="353">
        <f>ROUND(C869*E869,2)</f>
        <v>2301.72</v>
      </c>
    </row>
    <row r="870" spans="2:6" ht="13.5" thickBot="1">
      <c r="B870" s="138"/>
      <c r="C870" s="139"/>
      <c r="D870" s="139"/>
      <c r="E870" s="152" t="s">
        <v>176</v>
      </c>
      <c r="F870" s="141">
        <f>SUM(F868:F869)</f>
        <v>8583.68</v>
      </c>
    </row>
    <row r="871" ht="8.25" customHeight="1" thickTop="1">
      <c r="D871" s="2"/>
    </row>
    <row r="872" spans="2:6" ht="13.5" thickBot="1">
      <c r="B872" s="154" t="s">
        <v>506</v>
      </c>
      <c r="C872" s="124"/>
      <c r="D872" s="124"/>
      <c r="E872" s="124"/>
      <c r="F872" s="125"/>
    </row>
    <row r="873" spans="2:9" ht="13.5" thickTop="1">
      <c r="B873" s="126" t="s">
        <v>227</v>
      </c>
      <c r="C873" s="127">
        <v>1.05</v>
      </c>
      <c r="D873" s="128" t="s">
        <v>7</v>
      </c>
      <c r="E873" s="129">
        <f>E868</f>
        <v>5982.82</v>
      </c>
      <c r="F873" s="23">
        <f>ROUND(C873*E873,2)</f>
        <v>6281.96</v>
      </c>
      <c r="I873" s="153"/>
    </row>
    <row r="874" spans="2:9" ht="12.75">
      <c r="B874" s="130" t="s">
        <v>153</v>
      </c>
      <c r="C874" s="131">
        <v>4.7</v>
      </c>
      <c r="D874" s="132" t="s">
        <v>33</v>
      </c>
      <c r="E874" s="133">
        <f>E869</f>
        <v>2645.66</v>
      </c>
      <c r="F874" s="353">
        <f>ROUND(C874*E874,2)</f>
        <v>12434.6</v>
      </c>
      <c r="I874" s="153"/>
    </row>
    <row r="875" spans="2:9" ht="12.75">
      <c r="B875" s="134" t="s">
        <v>178</v>
      </c>
      <c r="C875" s="135">
        <v>16</v>
      </c>
      <c r="D875" s="136" t="s">
        <v>20</v>
      </c>
      <c r="E875" s="137">
        <v>325</v>
      </c>
      <c r="F875" s="353">
        <f>ROUND(C875*E875,2)</f>
        <v>5200</v>
      </c>
      <c r="I875" s="153"/>
    </row>
    <row r="876" spans="2:9" ht="13.5" thickBot="1">
      <c r="B876" s="138"/>
      <c r="C876" s="139"/>
      <c r="D876" s="139"/>
      <c r="E876" s="152" t="s">
        <v>176</v>
      </c>
      <c r="F876" s="141">
        <f>SUM(F873:F875)</f>
        <v>23916.56</v>
      </c>
      <c r="I876" s="206"/>
    </row>
    <row r="877" spans="2:9" ht="13.5" thickTop="1">
      <c r="B877" s="498" t="s">
        <v>298</v>
      </c>
      <c r="C877" s="22">
        <v>0.18</v>
      </c>
      <c r="D877" s="173" t="s">
        <v>7</v>
      </c>
      <c r="E877" s="22">
        <f>F876</f>
        <v>23916.56</v>
      </c>
      <c r="F877" s="499">
        <f>ROUND(C877*E877,2)</f>
        <v>4304.98</v>
      </c>
      <c r="I877" s="313"/>
    </row>
    <row r="878" spans="2:9" ht="12.75">
      <c r="B878" s="500" t="s">
        <v>475</v>
      </c>
      <c r="C878" s="28">
        <v>0.14</v>
      </c>
      <c r="D878" s="174" t="s">
        <v>7</v>
      </c>
      <c r="E878" s="28">
        <f>F870</f>
        <v>8583.68</v>
      </c>
      <c r="F878" s="353">
        <f>ROUND(C878*E878,2)</f>
        <v>1201.72</v>
      </c>
      <c r="I878" s="313"/>
    </row>
    <row r="879" spans="2:9" ht="12.75">
      <c r="B879" s="500" t="s">
        <v>275</v>
      </c>
      <c r="C879" s="28">
        <v>2.86</v>
      </c>
      <c r="D879" s="174" t="s">
        <v>8</v>
      </c>
      <c r="E879" s="28">
        <v>255.39</v>
      </c>
      <c r="F879" s="353">
        <f>ROUND(C879*E879,2)</f>
        <v>730.42</v>
      </c>
      <c r="I879" s="313"/>
    </row>
    <row r="880" spans="2:9" ht="12.75">
      <c r="B880" s="500" t="s">
        <v>86</v>
      </c>
      <c r="C880" s="28">
        <v>12.2</v>
      </c>
      <c r="D880" s="174" t="s">
        <v>20</v>
      </c>
      <c r="E880" s="28">
        <v>61.8</v>
      </c>
      <c r="F880" s="353">
        <f>ROUND(C880*E880,2)</f>
        <v>753.96</v>
      </c>
      <c r="I880" s="313"/>
    </row>
    <row r="881" spans="2:9" ht="12.75" customHeight="1">
      <c r="B881" s="501" t="s">
        <v>416</v>
      </c>
      <c r="C881" s="28">
        <v>1.76</v>
      </c>
      <c r="D881" s="372" t="s">
        <v>8</v>
      </c>
      <c r="E881" s="325">
        <v>95.48</v>
      </c>
      <c r="F881" s="353">
        <f>ROUND(C881*E881,2)</f>
        <v>168.04</v>
      </c>
      <c r="I881" s="175"/>
    </row>
    <row r="882" spans="2:9" ht="12.75" customHeight="1" thickBot="1">
      <c r="B882" s="502"/>
      <c r="C882" s="328"/>
      <c r="D882" s="329"/>
      <c r="E882" s="503" t="s">
        <v>476</v>
      </c>
      <c r="F882" s="562">
        <f>SUM(F877:F881)</f>
        <v>7159.12</v>
      </c>
      <c r="I882" s="175"/>
    </row>
    <row r="883" spans="4:9" ht="12.75" customHeight="1" thickTop="1">
      <c r="D883" s="2"/>
      <c r="I883" s="175"/>
    </row>
    <row r="884" spans="2:6" ht="13.5" thickBot="1">
      <c r="B884" s="49" t="s">
        <v>507</v>
      </c>
      <c r="C884" s="300"/>
      <c r="D884" s="301"/>
      <c r="E884" s="300"/>
      <c r="F884" s="300"/>
    </row>
    <row r="885" spans="2:9" ht="13.5" thickTop="1">
      <c r="B885" s="21" t="s">
        <v>227</v>
      </c>
      <c r="C885" s="302">
        <v>1.05</v>
      </c>
      <c r="D885" s="173" t="s">
        <v>7</v>
      </c>
      <c r="E885" s="302">
        <f>E873</f>
        <v>5982.82</v>
      </c>
      <c r="F885" s="23">
        <f>ROUND(C885*E885,2)</f>
        <v>6281.96</v>
      </c>
      <c r="I885" s="3">
        <v>32</v>
      </c>
    </row>
    <row r="886" spans="2:9" ht="12.75">
      <c r="B886" s="27" t="s">
        <v>153</v>
      </c>
      <c r="C886" s="303">
        <v>6.26</v>
      </c>
      <c r="D886" s="174" t="s">
        <v>33</v>
      </c>
      <c r="E886" s="303">
        <f>F766</f>
        <v>7006.91</v>
      </c>
      <c r="F886" s="353">
        <f>ROUND(C886*E886,2)</f>
        <v>43863.26</v>
      </c>
      <c r="I886" s="311"/>
    </row>
    <row r="887" spans="2:6" ht="12.75">
      <c r="B887" s="27" t="s">
        <v>247</v>
      </c>
      <c r="C887" s="303">
        <v>44.44</v>
      </c>
      <c r="D887" s="174" t="s">
        <v>105</v>
      </c>
      <c r="E887" s="303">
        <v>250</v>
      </c>
      <c r="F887" s="353">
        <f>ROUND(C887*E887,2)</f>
        <v>11110</v>
      </c>
    </row>
    <row r="888" spans="2:6" ht="13.5" thickBot="1">
      <c r="B888" s="35"/>
      <c r="C888" s="304"/>
      <c r="D888" s="183"/>
      <c r="E888" s="305"/>
      <c r="F888" s="306">
        <f>SUM(F885:F887)</f>
        <v>61255.22</v>
      </c>
    </row>
    <row r="889" spans="2:6" ht="13.5" thickTop="1">
      <c r="B889" s="307" t="s">
        <v>296</v>
      </c>
      <c r="C889" s="310">
        <f>0.25*0.25*0.6</f>
        <v>0.038</v>
      </c>
      <c r="D889" s="309" t="s">
        <v>7</v>
      </c>
      <c r="E889" s="308">
        <f>F888</f>
        <v>61255.22</v>
      </c>
      <c r="F889" s="563">
        <f>ROUND(C889*E889,2)</f>
        <v>2327.7</v>
      </c>
    </row>
    <row r="890" spans="2:6" ht="12.75">
      <c r="B890" s="4"/>
      <c r="C890" s="16"/>
      <c r="D890" s="382"/>
      <c r="E890" s="16"/>
      <c r="F890" s="16"/>
    </row>
    <row r="891" spans="2:6" ht="12.75">
      <c r="B891" s="4"/>
      <c r="C891" s="16"/>
      <c r="D891" s="382"/>
      <c r="E891" s="16"/>
      <c r="F891" s="16"/>
    </row>
    <row r="892" spans="2:7" ht="15">
      <c r="B892" s="565" t="s">
        <v>508</v>
      </c>
      <c r="C892" s="566"/>
      <c r="D892" s="567"/>
      <c r="E892" s="566"/>
      <c r="F892" s="566"/>
      <c r="G892" s="568"/>
    </row>
    <row r="893" spans="2:7" ht="13.5" thickBot="1">
      <c r="B893" s="569" t="s">
        <v>516</v>
      </c>
      <c r="C893" s="570"/>
      <c r="D893" s="571"/>
      <c r="E893" s="570"/>
      <c r="F893" s="570"/>
      <c r="G893" s="568"/>
    </row>
    <row r="894" spans="2:7" ht="13.5" thickTop="1">
      <c r="B894" s="572" t="s">
        <v>509</v>
      </c>
      <c r="C894" s="573">
        <v>1.05</v>
      </c>
      <c r="D894" s="574" t="s">
        <v>7</v>
      </c>
      <c r="E894" s="573">
        <v>4966.6</v>
      </c>
      <c r="F894" s="575">
        <v>5214.93</v>
      </c>
      <c r="G894" s="568"/>
    </row>
    <row r="895" spans="2:7" ht="12.75">
      <c r="B895" s="576" t="s">
        <v>153</v>
      </c>
      <c r="C895" s="577">
        <v>0.67</v>
      </c>
      <c r="D895" s="578" t="s">
        <v>33</v>
      </c>
      <c r="E895" s="577">
        <v>1960.4</v>
      </c>
      <c r="F895" s="579">
        <v>1235.05</v>
      </c>
      <c r="G895" s="568"/>
    </row>
    <row r="896" spans="2:7" ht="13.5" thickBot="1">
      <c r="B896" s="580"/>
      <c r="C896" s="581"/>
      <c r="D896" s="582"/>
      <c r="E896" s="583" t="s">
        <v>47</v>
      </c>
      <c r="F896" s="584">
        <v>6449.98</v>
      </c>
      <c r="G896" s="568"/>
    </row>
    <row r="897" spans="2:7" ht="13.5" thickTop="1">
      <c r="B897" s="585"/>
      <c r="C897" s="586"/>
      <c r="D897" s="585"/>
      <c r="E897" s="587"/>
      <c r="F897" s="587"/>
      <c r="G897" s="568"/>
    </row>
    <row r="898" spans="2:7" ht="13.5" thickBot="1">
      <c r="B898" s="588" t="s">
        <v>517</v>
      </c>
      <c r="C898" s="570"/>
      <c r="D898" s="571"/>
      <c r="E898" s="570"/>
      <c r="F898" s="570"/>
      <c r="G898" s="568"/>
    </row>
    <row r="899" spans="2:7" ht="13.5" thickTop="1">
      <c r="B899" s="572" t="s">
        <v>510</v>
      </c>
      <c r="C899" s="573">
        <v>1.05</v>
      </c>
      <c r="D899" s="574" t="s">
        <v>7</v>
      </c>
      <c r="E899" s="573">
        <v>4966.6</v>
      </c>
      <c r="F899" s="575">
        <v>5214.93</v>
      </c>
      <c r="G899" s="568"/>
    </row>
    <row r="900" spans="2:7" ht="12.75">
      <c r="B900" s="576" t="s">
        <v>153</v>
      </c>
      <c r="C900" s="577">
        <v>1.06</v>
      </c>
      <c r="D900" s="578" t="s">
        <v>33</v>
      </c>
      <c r="E900" s="577">
        <v>2145.4</v>
      </c>
      <c r="F900" s="579">
        <v>2574.48</v>
      </c>
      <c r="G900" s="568"/>
    </row>
    <row r="901" spans="2:7" ht="13.5" thickBot="1">
      <c r="B901" s="580"/>
      <c r="C901" s="581"/>
      <c r="D901" s="582"/>
      <c r="E901" s="583" t="s">
        <v>47</v>
      </c>
      <c r="F901" s="584">
        <v>7789.41</v>
      </c>
      <c r="G901" s="568"/>
    </row>
    <row r="902" spans="2:7" ht="13.5" thickTop="1">
      <c r="B902" s="589"/>
      <c r="C902" s="590"/>
      <c r="D902" s="589"/>
      <c r="E902" s="590"/>
      <c r="F902" s="590"/>
      <c r="G902" s="568"/>
    </row>
    <row r="903" spans="2:7" ht="13.5" thickBot="1">
      <c r="B903" s="588" t="s">
        <v>518</v>
      </c>
      <c r="C903" s="570"/>
      <c r="D903" s="571"/>
      <c r="E903" s="570"/>
      <c r="F903" s="570"/>
      <c r="G903" s="568"/>
    </row>
    <row r="904" spans="2:7" ht="13.5" thickTop="1">
      <c r="B904" s="572" t="s">
        <v>510</v>
      </c>
      <c r="C904" s="573">
        <v>1.05</v>
      </c>
      <c r="D904" s="574" t="s">
        <v>7</v>
      </c>
      <c r="E904" s="573">
        <v>4966.6</v>
      </c>
      <c r="F904" s="575">
        <v>5214.93</v>
      </c>
      <c r="G904" s="568"/>
    </row>
    <row r="905" spans="2:7" ht="12.75">
      <c r="B905" s="576" t="s">
        <v>153</v>
      </c>
      <c r="C905" s="577">
        <v>3.75</v>
      </c>
      <c r="D905" s="578" t="s">
        <v>33</v>
      </c>
      <c r="E905" s="577">
        <v>2145.4</v>
      </c>
      <c r="F905" s="579">
        <v>7852.16</v>
      </c>
      <c r="G905" s="568"/>
    </row>
    <row r="906" spans="2:7" ht="12.75">
      <c r="B906" s="576" t="s">
        <v>247</v>
      </c>
      <c r="C906" s="577">
        <v>10</v>
      </c>
      <c r="D906" s="591" t="s">
        <v>8</v>
      </c>
      <c r="E906" s="577">
        <v>550</v>
      </c>
      <c r="F906" s="579">
        <v>5500</v>
      </c>
      <c r="G906" s="568"/>
    </row>
    <row r="907" spans="2:7" ht="13.5" thickBot="1">
      <c r="B907" s="580"/>
      <c r="C907" s="581"/>
      <c r="D907" s="582"/>
      <c r="E907" s="583" t="s">
        <v>47</v>
      </c>
      <c r="F907" s="584">
        <v>18567.09</v>
      </c>
      <c r="G907" s="568"/>
    </row>
    <row r="908" spans="2:7" ht="13.5" thickTop="1">
      <c r="B908" s="592"/>
      <c r="C908" s="590"/>
      <c r="D908" s="589"/>
      <c r="E908" s="590"/>
      <c r="F908" s="590"/>
      <c r="G908" s="568"/>
    </row>
    <row r="909" spans="2:7" ht="13.5" thickBot="1">
      <c r="B909" s="593" t="s">
        <v>519</v>
      </c>
      <c r="C909" s="570"/>
      <c r="D909" s="571"/>
      <c r="E909" s="570"/>
      <c r="F909" s="570"/>
      <c r="G909" s="568"/>
    </row>
    <row r="910" spans="2:7" ht="13.5" thickTop="1">
      <c r="B910" s="572" t="s">
        <v>510</v>
      </c>
      <c r="C910" s="573">
        <v>1.05</v>
      </c>
      <c r="D910" s="574" t="s">
        <v>7</v>
      </c>
      <c r="E910" s="573">
        <v>4966.6</v>
      </c>
      <c r="F910" s="575">
        <v>5214.93</v>
      </c>
      <c r="G910" s="568"/>
    </row>
    <row r="911" spans="2:7" ht="12.75">
      <c r="B911" s="576" t="s">
        <v>153</v>
      </c>
      <c r="C911" s="577">
        <v>1.99</v>
      </c>
      <c r="D911" s="578" t="s">
        <v>33</v>
      </c>
      <c r="E911" s="577">
        <v>1960.4</v>
      </c>
      <c r="F911" s="579">
        <v>3117.04</v>
      </c>
      <c r="G911" s="568"/>
    </row>
    <row r="912" spans="2:7" ht="12.75">
      <c r="B912" s="576" t="s">
        <v>247</v>
      </c>
      <c r="C912" s="577"/>
      <c r="D912" s="591"/>
      <c r="E912" s="577"/>
      <c r="F912" s="579"/>
      <c r="G912" s="568"/>
    </row>
    <row r="913" spans="2:7" ht="13.5" thickBot="1">
      <c r="B913" s="580"/>
      <c r="C913" s="581"/>
      <c r="D913" s="582"/>
      <c r="E913" s="583" t="s">
        <v>47</v>
      </c>
      <c r="F913" s="584">
        <v>8331.97</v>
      </c>
      <c r="G913" s="568"/>
    </row>
    <row r="914" spans="2:7" ht="13.5" thickTop="1">
      <c r="B914" s="592"/>
      <c r="C914" s="590"/>
      <c r="D914" s="589"/>
      <c r="E914" s="590"/>
      <c r="F914" s="590"/>
      <c r="G914" s="568"/>
    </row>
    <row r="915" spans="2:7" ht="13.5" thickBot="1">
      <c r="B915" s="588" t="s">
        <v>520</v>
      </c>
      <c r="C915" s="570"/>
      <c r="D915" s="571"/>
      <c r="E915" s="570"/>
      <c r="F915" s="570"/>
      <c r="G915" s="568"/>
    </row>
    <row r="916" spans="2:7" ht="13.5" thickTop="1">
      <c r="B916" s="572" t="s">
        <v>511</v>
      </c>
      <c r="C916" s="573">
        <v>1.05</v>
      </c>
      <c r="D916" s="574" t="s">
        <v>7</v>
      </c>
      <c r="E916" s="573">
        <v>4966.6</v>
      </c>
      <c r="F916" s="575">
        <v>5214.93</v>
      </c>
      <c r="G916" s="568"/>
    </row>
    <row r="917" spans="2:7" ht="12.75">
      <c r="B917" s="576" t="s">
        <v>512</v>
      </c>
      <c r="C917" s="577">
        <v>3.91</v>
      </c>
      <c r="D917" s="578" t="s">
        <v>33</v>
      </c>
      <c r="E917" s="577">
        <v>2145.4</v>
      </c>
      <c r="F917" s="579">
        <v>15446.88</v>
      </c>
      <c r="G917" s="568"/>
    </row>
    <row r="918" spans="2:7" ht="12.75">
      <c r="B918" s="576" t="s">
        <v>513</v>
      </c>
      <c r="C918" s="577">
        <f>1/(0.3*0.3)</f>
        <v>11.11</v>
      </c>
      <c r="D918" s="591" t="s">
        <v>105</v>
      </c>
      <c r="E918" s="577">
        <v>225</v>
      </c>
      <c r="F918" s="579">
        <v>5200</v>
      </c>
      <c r="G918" s="568"/>
    </row>
    <row r="919" spans="2:7" ht="12.75">
      <c r="B919" s="576"/>
      <c r="C919" s="577"/>
      <c r="D919" s="594"/>
      <c r="E919" s="595" t="s">
        <v>47</v>
      </c>
      <c r="F919" s="596">
        <v>25861.81</v>
      </c>
      <c r="G919" s="568"/>
    </row>
    <row r="920" spans="2:7" ht="12.75">
      <c r="B920" s="592"/>
      <c r="C920" s="590"/>
      <c r="D920" s="589"/>
      <c r="E920" s="590"/>
      <c r="F920" s="590"/>
      <c r="G920" s="568"/>
    </row>
    <row r="921" spans="2:7" ht="13.5" thickBot="1">
      <c r="B921" s="588" t="s">
        <v>521</v>
      </c>
      <c r="C921" s="597"/>
      <c r="D921" s="593"/>
      <c r="E921" s="597"/>
      <c r="F921" s="597"/>
      <c r="G921" s="568"/>
    </row>
    <row r="922" spans="2:7" ht="13.5" thickTop="1">
      <c r="B922" s="598" t="s">
        <v>510</v>
      </c>
      <c r="C922" s="573">
        <v>1.05</v>
      </c>
      <c r="D922" s="574" t="s">
        <v>7</v>
      </c>
      <c r="E922" s="573">
        <v>4966.6</v>
      </c>
      <c r="F922" s="575">
        <v>5214.93</v>
      </c>
      <c r="G922" s="568"/>
    </row>
    <row r="923" spans="2:7" ht="12.75">
      <c r="B923" s="576" t="s">
        <v>153</v>
      </c>
      <c r="C923" s="577">
        <v>2.97</v>
      </c>
      <c r="D923" s="578" t="s">
        <v>33</v>
      </c>
      <c r="E923" s="577">
        <v>1960.4</v>
      </c>
      <c r="F923" s="579">
        <v>11527.15</v>
      </c>
      <c r="G923" s="568"/>
    </row>
    <row r="924" spans="2:7" ht="12.75">
      <c r="B924" s="576" t="s">
        <v>247</v>
      </c>
      <c r="C924" s="577">
        <f>1/(0.3*0.3)</f>
        <v>11.11</v>
      </c>
      <c r="D924" s="591" t="s">
        <v>8</v>
      </c>
      <c r="E924" s="577">
        <v>375</v>
      </c>
      <c r="F924" s="579">
        <v>5200</v>
      </c>
      <c r="G924" s="568"/>
    </row>
    <row r="925" spans="2:7" ht="13.5" thickBot="1">
      <c r="B925" s="580"/>
      <c r="C925" s="581"/>
      <c r="D925" s="582"/>
      <c r="E925" s="583"/>
      <c r="F925" s="584">
        <v>21942.08</v>
      </c>
      <c r="G925" s="568"/>
    </row>
    <row r="926" spans="2:7" ht="13.5" thickTop="1">
      <c r="B926" s="571"/>
      <c r="C926" s="570"/>
      <c r="D926" s="571"/>
      <c r="E926" s="570"/>
      <c r="F926" s="570"/>
      <c r="G926" s="568"/>
    </row>
    <row r="927" spans="2:7" ht="13.5" thickBot="1">
      <c r="B927" s="593" t="s">
        <v>522</v>
      </c>
      <c r="C927" s="597"/>
      <c r="D927" s="593"/>
      <c r="E927" s="597"/>
      <c r="F927" s="597"/>
      <c r="G927" s="568"/>
    </row>
    <row r="928" spans="2:7" ht="13.5" thickTop="1">
      <c r="B928" s="598" t="s">
        <v>510</v>
      </c>
      <c r="C928" s="573">
        <v>1.05</v>
      </c>
      <c r="D928" s="574" t="s">
        <v>7</v>
      </c>
      <c r="E928" s="573">
        <v>4966.6</v>
      </c>
      <c r="F928" s="575">
        <v>5214.93</v>
      </c>
      <c r="G928" s="568"/>
    </row>
    <row r="929" spans="2:7" ht="12.75">
      <c r="B929" s="576" t="s">
        <v>153</v>
      </c>
      <c r="C929" s="577">
        <v>1.1</v>
      </c>
      <c r="D929" s="578" t="s">
        <v>33</v>
      </c>
      <c r="E929" s="577">
        <v>2145.4</v>
      </c>
      <c r="F929" s="579">
        <v>5213.32</v>
      </c>
      <c r="G929" s="568"/>
    </row>
    <row r="930" spans="2:7" ht="12.75">
      <c r="B930" s="576" t="s">
        <v>247</v>
      </c>
      <c r="C930" s="577">
        <f>1/0.15</f>
        <v>6.67</v>
      </c>
      <c r="D930" s="591" t="s">
        <v>105</v>
      </c>
      <c r="E930" s="577">
        <v>225</v>
      </c>
      <c r="F930" s="579">
        <v>1500</v>
      </c>
      <c r="G930" s="568"/>
    </row>
    <row r="931" spans="2:7" ht="13.5" thickBot="1">
      <c r="B931" s="580"/>
      <c r="C931" s="581"/>
      <c r="D931" s="582"/>
      <c r="E931" s="583"/>
      <c r="F931" s="584">
        <v>11928.25</v>
      </c>
      <c r="G931" s="568"/>
    </row>
    <row r="932" spans="2:7" ht="13.5" thickTop="1">
      <c r="B932" s="571"/>
      <c r="C932" s="570"/>
      <c r="D932" s="571"/>
      <c r="E932" s="570"/>
      <c r="F932" s="570"/>
      <c r="G932" s="568"/>
    </row>
    <row r="933" spans="2:7" ht="13.5" thickBot="1">
      <c r="B933" s="593" t="s">
        <v>523</v>
      </c>
      <c r="C933" s="570"/>
      <c r="D933" s="571"/>
      <c r="E933" s="570"/>
      <c r="F933" s="570"/>
      <c r="G933" s="568"/>
    </row>
    <row r="934" spans="2:7" ht="13.5" thickTop="1">
      <c r="B934" s="598" t="s">
        <v>510</v>
      </c>
      <c r="C934" s="573">
        <v>1.05</v>
      </c>
      <c r="D934" s="574" t="s">
        <v>7</v>
      </c>
      <c r="E934" s="573">
        <v>4966.6</v>
      </c>
      <c r="F934" s="575">
        <v>5214.93</v>
      </c>
      <c r="G934" s="568"/>
    </row>
    <row r="935" spans="2:7" ht="12.75">
      <c r="B935" s="576" t="s">
        <v>153</v>
      </c>
      <c r="C935" s="577">
        <v>4.75</v>
      </c>
      <c r="D935" s="578" t="s">
        <v>33</v>
      </c>
      <c r="E935" s="577">
        <v>1960.4</v>
      </c>
      <c r="F935" s="579">
        <v>6155.66</v>
      </c>
      <c r="G935" s="568"/>
    </row>
    <row r="936" spans="2:7" ht="12.75">
      <c r="B936" s="576" t="s">
        <v>247</v>
      </c>
      <c r="C936" s="577">
        <f>1/(0.3*0.3)</f>
        <v>11.11</v>
      </c>
      <c r="D936" s="591" t="s">
        <v>105</v>
      </c>
      <c r="E936" s="577">
        <v>250</v>
      </c>
      <c r="F936" s="579">
        <v>1562.5</v>
      </c>
      <c r="G936" s="568"/>
    </row>
    <row r="937" spans="2:7" ht="12.75">
      <c r="B937" s="599" t="s">
        <v>514</v>
      </c>
      <c r="C937" s="577">
        <f>1/(0.3*0.3)</f>
        <v>11.11</v>
      </c>
      <c r="D937" s="601" t="s">
        <v>105</v>
      </c>
      <c r="E937" s="600">
        <v>325</v>
      </c>
      <c r="F937" s="579">
        <v>1156.25</v>
      </c>
      <c r="G937" s="568"/>
    </row>
    <row r="938" spans="2:7" ht="13.5" thickBot="1">
      <c r="B938" s="580"/>
      <c r="C938" s="581"/>
      <c r="D938" s="582"/>
      <c r="E938" s="583"/>
      <c r="F938" s="584">
        <v>14089.34</v>
      </c>
      <c r="G938" s="568"/>
    </row>
    <row r="939" spans="2:7" ht="13.5" thickTop="1">
      <c r="B939" s="602"/>
      <c r="C939" s="603"/>
      <c r="D939" s="602"/>
      <c r="E939" s="603"/>
      <c r="F939" s="603"/>
      <c r="G939" s="568"/>
    </row>
    <row r="940" spans="2:6" ht="12.75">
      <c r="B940" s="4"/>
      <c r="C940" s="16"/>
      <c r="D940" s="382"/>
      <c r="E940" s="16"/>
      <c r="F940" s="16"/>
    </row>
    <row r="941" spans="2:6" ht="12.75">
      <c r="B941" s="4"/>
      <c r="C941" s="16"/>
      <c r="D941" s="382"/>
      <c r="E941" s="16"/>
      <c r="F941" s="16"/>
    </row>
    <row r="942" spans="2:6" ht="12.75">
      <c r="B942" s="817" t="s">
        <v>525</v>
      </c>
      <c r="C942" s="818"/>
      <c r="D942" s="819"/>
      <c r="E942" s="820"/>
      <c r="F942" s="821"/>
    </row>
    <row r="943" spans="2:6" ht="12.75">
      <c r="B943" s="822" t="s">
        <v>488</v>
      </c>
      <c r="C943" s="98">
        <v>1</v>
      </c>
      <c r="D943" s="99" t="s">
        <v>7</v>
      </c>
      <c r="E943" s="823">
        <v>330</v>
      </c>
      <c r="F943" s="824">
        <f>C943*E943</f>
        <v>330</v>
      </c>
    </row>
    <row r="944" spans="2:6" ht="12.75">
      <c r="B944" s="825" t="s">
        <v>38</v>
      </c>
      <c r="C944" s="824">
        <v>10</v>
      </c>
      <c r="D944" s="826" t="s">
        <v>35</v>
      </c>
      <c r="E944" s="824">
        <v>12</v>
      </c>
      <c r="F944" s="824">
        <f>C944*E944</f>
        <v>120</v>
      </c>
    </row>
    <row r="945" spans="2:6" ht="12.75">
      <c r="B945" s="825"/>
      <c r="C945" s="825"/>
      <c r="D945" s="825"/>
      <c r="E945" s="827" t="s">
        <v>526</v>
      </c>
      <c r="F945" s="828">
        <f>SUM(F943:F944)</f>
        <v>450</v>
      </c>
    </row>
    <row r="946" spans="2:6" ht="12.75">
      <c r="B946" s="114"/>
      <c r="C946" s="114"/>
      <c r="D946" s="114"/>
      <c r="E946" s="115"/>
      <c r="F946" s="116"/>
    </row>
    <row r="947" spans="2:6" ht="12.75">
      <c r="B947" s="829" t="s">
        <v>527</v>
      </c>
      <c r="C947" s="830"/>
      <c r="D947" s="830"/>
      <c r="E947" s="831"/>
      <c r="F947" s="831"/>
    </row>
    <row r="948" spans="2:6" ht="13.5" thickBot="1">
      <c r="B948" s="832"/>
      <c r="C948" s="830"/>
      <c r="D948" s="830"/>
      <c r="E948" s="831"/>
      <c r="F948" s="831"/>
    </row>
    <row r="949" spans="2:6" ht="13.5" thickTop="1">
      <c r="B949" s="102" t="s">
        <v>528</v>
      </c>
      <c r="C949" s="833">
        <v>4.6</v>
      </c>
      <c r="D949" s="834" t="s">
        <v>27</v>
      </c>
      <c r="E949" s="833">
        <v>250</v>
      </c>
      <c r="F949" s="835">
        <f>C949*E949</f>
        <v>1150</v>
      </c>
    </row>
    <row r="950" spans="2:6" ht="12.75">
      <c r="B950" s="836" t="s">
        <v>529</v>
      </c>
      <c r="C950" s="837">
        <v>1</v>
      </c>
      <c r="D950" s="838" t="s">
        <v>7</v>
      </c>
      <c r="E950" s="839">
        <f>F945</f>
        <v>450</v>
      </c>
      <c r="F950" s="835">
        <f>C950*E950</f>
        <v>450</v>
      </c>
    </row>
    <row r="951" spans="2:6" ht="12.75">
      <c r="B951" s="103" t="s">
        <v>546</v>
      </c>
      <c r="C951" s="840">
        <v>0.4</v>
      </c>
      <c r="D951" s="841" t="s">
        <v>7</v>
      </c>
      <c r="E951" s="839">
        <v>1012</v>
      </c>
      <c r="F951" s="835">
        <f>C951*E951</f>
        <v>404.8</v>
      </c>
    </row>
    <row r="952" spans="2:6" ht="12.75">
      <c r="B952" s="103" t="s">
        <v>24</v>
      </c>
      <c r="C952" s="840">
        <v>27.62</v>
      </c>
      <c r="D952" s="842" t="s">
        <v>25</v>
      </c>
      <c r="E952" s="840">
        <v>1</v>
      </c>
      <c r="F952" s="835">
        <f>C952*E952</f>
        <v>27.62</v>
      </c>
    </row>
    <row r="953" spans="2:6" ht="12.75">
      <c r="B953" s="103" t="s">
        <v>530</v>
      </c>
      <c r="C953" s="840">
        <v>1</v>
      </c>
      <c r="D953" s="842" t="s">
        <v>1</v>
      </c>
      <c r="E953" s="840">
        <v>45</v>
      </c>
      <c r="F953" s="835">
        <f>C953*E953</f>
        <v>45</v>
      </c>
    </row>
    <row r="954" spans="2:6" ht="12.75">
      <c r="B954" s="104"/>
      <c r="C954" s="840"/>
      <c r="D954" s="842"/>
      <c r="E954" s="840"/>
      <c r="F954" s="835"/>
    </row>
    <row r="955" spans="2:6" ht="12.75">
      <c r="B955" s="843" t="s">
        <v>15</v>
      </c>
      <c r="C955" s="840"/>
      <c r="D955" s="844"/>
      <c r="E955" s="840"/>
      <c r="F955" s="835"/>
    </row>
    <row r="956" spans="2:6" ht="12.75">
      <c r="B956" s="104" t="s">
        <v>531</v>
      </c>
      <c r="C956" s="845">
        <v>1</v>
      </c>
      <c r="D956" s="846" t="s">
        <v>7</v>
      </c>
      <c r="E956" s="845">
        <v>1300</v>
      </c>
      <c r="F956" s="835">
        <f>C956*E956</f>
        <v>1300</v>
      </c>
    </row>
    <row r="957" spans="2:6" ht="13.5" thickBot="1">
      <c r="B957" s="104" t="s">
        <v>532</v>
      </c>
      <c r="C957" s="845">
        <v>0.2</v>
      </c>
      <c r="D957" s="846" t="s">
        <v>7</v>
      </c>
      <c r="E957" s="845">
        <v>500</v>
      </c>
      <c r="F957" s="847">
        <f>C957*E957</f>
        <v>100</v>
      </c>
    </row>
    <row r="958" spans="2:6" ht="14.25" thickBot="1" thickTop="1">
      <c r="B958" s="848"/>
      <c r="C958" s="849"/>
      <c r="D958" s="849"/>
      <c r="E958" s="850" t="s">
        <v>47</v>
      </c>
      <c r="F958" s="851">
        <f>SUM(F949:F957)</f>
        <v>3477.42</v>
      </c>
    </row>
    <row r="959" spans="2:6" ht="13.5" thickTop="1">
      <c r="B959" s="537"/>
      <c r="C959" s="830"/>
      <c r="D959" s="830"/>
      <c r="E959" s="831"/>
      <c r="F959" s="852"/>
    </row>
    <row r="960" spans="2:6" ht="12.75">
      <c r="B960" s="832" t="s">
        <v>533</v>
      </c>
      <c r="C960" s="830">
        <v>0.2</v>
      </c>
      <c r="D960" s="853" t="s">
        <v>534</v>
      </c>
      <c r="E960" s="831">
        <f>F958</f>
        <v>3477.42</v>
      </c>
      <c r="F960" s="854">
        <f>ROUND(C960*E960,2)</f>
        <v>695.48</v>
      </c>
    </row>
    <row r="961" spans="2:6" ht="12.75">
      <c r="B961" s="832" t="s">
        <v>535</v>
      </c>
      <c r="C961" s="830">
        <v>0.3</v>
      </c>
      <c r="D961" s="853" t="s">
        <v>534</v>
      </c>
      <c r="E961" s="831">
        <f>E960</f>
        <v>3477.42</v>
      </c>
      <c r="F961" s="854">
        <f>ROUND(C961*E961,2)</f>
        <v>1043.23</v>
      </c>
    </row>
    <row r="962" spans="2:6" ht="12.75">
      <c r="B962" s="855"/>
      <c r="C962" s="855"/>
      <c r="D962" s="855"/>
      <c r="E962" s="855"/>
      <c r="F962" s="855"/>
    </row>
    <row r="963" spans="2:6" ht="12.75">
      <c r="B963" s="855"/>
      <c r="C963" s="855"/>
      <c r="D963" s="855"/>
      <c r="E963" s="855"/>
      <c r="F963" s="855"/>
    </row>
    <row r="964" spans="2:6" ht="12.75">
      <c r="B964" s="856" t="s">
        <v>536</v>
      </c>
      <c r="C964" s="855"/>
      <c r="D964" s="855"/>
      <c r="E964" s="855"/>
      <c r="F964" s="855"/>
    </row>
    <row r="965" spans="2:6" ht="12.75">
      <c r="B965" s="856" t="s">
        <v>537</v>
      </c>
      <c r="C965" s="855"/>
      <c r="D965" s="855"/>
      <c r="E965" s="855"/>
      <c r="F965" s="855"/>
    </row>
    <row r="966" spans="2:6" ht="12.75">
      <c r="B966" s="857" t="s">
        <v>538</v>
      </c>
      <c r="C966" s="858">
        <v>50.6</v>
      </c>
      <c r="D966" s="537" t="s">
        <v>539</v>
      </c>
      <c r="E966" s="859">
        <v>0.2</v>
      </c>
      <c r="F966" s="241"/>
    </row>
    <row r="967" spans="2:6" ht="12.75">
      <c r="B967" s="860" t="s">
        <v>540</v>
      </c>
      <c r="C967" s="861">
        <f>0.8*C966</f>
        <v>40.48</v>
      </c>
      <c r="D967" s="862" t="s">
        <v>7</v>
      </c>
      <c r="E967" s="861">
        <v>158.5</v>
      </c>
      <c r="F967" s="863">
        <f>ROUND(C967*E967,2)</f>
        <v>6416.08</v>
      </c>
    </row>
    <row r="968" spans="2:6" ht="12.75">
      <c r="B968" s="860" t="s">
        <v>417</v>
      </c>
      <c r="C968" s="861">
        <f>0.96*C966</f>
        <v>48.58</v>
      </c>
      <c r="D968" s="862" t="s">
        <v>7</v>
      </c>
      <c r="E968" s="861">
        <v>110</v>
      </c>
      <c r="F968" s="863">
        <f>ROUND(C968*E968,2)</f>
        <v>5343.8</v>
      </c>
    </row>
    <row r="969" spans="2:6" ht="12.75">
      <c r="B969" s="860" t="s">
        <v>541</v>
      </c>
      <c r="C969" s="861">
        <f>0.08*C966</f>
        <v>4.05</v>
      </c>
      <c r="D969" s="862" t="s">
        <v>7</v>
      </c>
      <c r="E969" s="861">
        <v>1500</v>
      </c>
      <c r="F969" s="863">
        <f>ROUND(C969*E969,2)</f>
        <v>6075</v>
      </c>
    </row>
    <row r="970" spans="2:6" ht="12.75">
      <c r="B970" s="860" t="s">
        <v>542</v>
      </c>
      <c r="C970" s="861">
        <f>0.04*C966</f>
        <v>2.02</v>
      </c>
      <c r="D970" s="862" t="s">
        <v>7</v>
      </c>
      <c r="E970" s="861">
        <f>F60</f>
        <v>4455.62</v>
      </c>
      <c r="F970" s="863">
        <f>ROUND(C970*E970,2)</f>
        <v>9000.35</v>
      </c>
    </row>
    <row r="971" spans="2:6" ht="12.75">
      <c r="B971" s="860" t="s">
        <v>543</v>
      </c>
      <c r="C971" s="861">
        <f>1.64*C966</f>
        <v>82.98</v>
      </c>
      <c r="D971" s="862" t="s">
        <v>8</v>
      </c>
      <c r="E971" s="861">
        <f>IF(E966=0.2,F960,F961)</f>
        <v>695.48</v>
      </c>
      <c r="F971" s="863">
        <f>ROUND(C971*E971,2)</f>
        <v>57710.93</v>
      </c>
    </row>
    <row r="972" spans="2:6" ht="12.75">
      <c r="B972" s="864"/>
      <c r="C972" s="861"/>
      <c r="D972" s="864"/>
      <c r="E972" s="827" t="s">
        <v>544</v>
      </c>
      <c r="F972" s="865">
        <f>SUM(F967:F971)</f>
        <v>84546.16</v>
      </c>
    </row>
    <row r="973" spans="2:6" ht="12.75">
      <c r="B973" s="866"/>
      <c r="C973" s="867"/>
      <c r="D973" s="868"/>
      <c r="E973" s="827" t="s">
        <v>545</v>
      </c>
      <c r="F973" s="869">
        <f>+F972/C966</f>
        <v>1670.87</v>
      </c>
    </row>
    <row r="974" spans="2:6" ht="12.75">
      <c r="B974" s="4"/>
      <c r="C974" s="16"/>
      <c r="D974" s="382"/>
      <c r="E974" s="16"/>
      <c r="F974" s="16"/>
    </row>
    <row r="975" spans="2:6" ht="12.75">
      <c r="B975" s="4"/>
      <c r="C975" s="16"/>
      <c r="D975" s="382"/>
      <c r="E975" s="16"/>
      <c r="F975" s="16"/>
    </row>
    <row r="976" spans="2:6" ht="12.75">
      <c r="B976" s="49" t="s">
        <v>547</v>
      </c>
      <c r="C976" s="870"/>
      <c r="D976" s="301"/>
      <c r="E976" s="871"/>
      <c r="F976" s="871"/>
    </row>
    <row r="977" spans="2:6" ht="13.5" thickBot="1">
      <c r="B977" s="49" t="s">
        <v>295</v>
      </c>
      <c r="C977" s="870"/>
      <c r="D977" s="301"/>
      <c r="E977" s="870"/>
      <c r="F977" s="870"/>
    </row>
    <row r="978" spans="2:6" ht="13.5" thickTop="1">
      <c r="B978" s="872" t="s">
        <v>139</v>
      </c>
      <c r="C978" s="873">
        <v>1.05</v>
      </c>
      <c r="D978" s="173" t="s">
        <v>7</v>
      </c>
      <c r="E978" s="873">
        <f>F60</f>
        <v>4455.62</v>
      </c>
      <c r="F978" s="510">
        <f>ROUND(C978*E978,2)</f>
        <v>4678.4</v>
      </c>
    </row>
    <row r="979" spans="2:6" ht="12.75">
      <c r="B979" s="874" t="s">
        <v>153</v>
      </c>
      <c r="C979" s="875">
        <v>8.15</v>
      </c>
      <c r="D979" s="174" t="s">
        <v>33</v>
      </c>
      <c r="E979" s="875">
        <f>F166</f>
        <v>2600.55</v>
      </c>
      <c r="F979" s="515">
        <f>ROUND(C979*E979,2)</f>
        <v>21194.48</v>
      </c>
    </row>
    <row r="980" spans="2:6" ht="12.75">
      <c r="B980" s="874" t="s">
        <v>247</v>
      </c>
      <c r="C980" s="875">
        <v>44.44</v>
      </c>
      <c r="D980" s="174" t="s">
        <v>20</v>
      </c>
      <c r="E980" s="875">
        <v>100</v>
      </c>
      <c r="F980" s="515">
        <f>ROUND(C980*E980,2)</f>
        <v>4444</v>
      </c>
    </row>
    <row r="981" spans="2:6" ht="13.5" thickBot="1">
      <c r="B981" s="876"/>
      <c r="C981" s="877"/>
      <c r="D981" s="183"/>
      <c r="E981" s="878"/>
      <c r="F981" s="879">
        <f>SUM(F978:F980)</f>
        <v>30316.88</v>
      </c>
    </row>
    <row r="982" spans="2:6" ht="13.5" thickTop="1">
      <c r="B982" s="307" t="s">
        <v>296</v>
      </c>
      <c r="C982" s="1028">
        <v>0.013</v>
      </c>
      <c r="D982" s="309" t="s">
        <v>7</v>
      </c>
      <c r="E982" s="880"/>
      <c r="F982" s="880"/>
    </row>
    <row r="983" spans="2:6" ht="12.75">
      <c r="B983" s="307" t="s">
        <v>548</v>
      </c>
      <c r="C983" s="881">
        <v>1</v>
      </c>
      <c r="D983" s="171" t="s">
        <v>124</v>
      </c>
      <c r="E983" s="882">
        <f>C982*F981</f>
        <v>394.12</v>
      </c>
      <c r="F983" s="883">
        <f>ROUND(C983*E983,2)</f>
        <v>394.12</v>
      </c>
    </row>
    <row r="984" spans="2:6" ht="13.5" thickBot="1">
      <c r="B984" s="884" t="s">
        <v>499</v>
      </c>
      <c r="C984" s="885" t="s">
        <v>549</v>
      </c>
      <c r="D984" s="886"/>
      <c r="E984" s="878" t="s">
        <v>47</v>
      </c>
      <c r="F984" s="887">
        <f>SUM(F983:F983)</f>
        <v>394.12</v>
      </c>
    </row>
    <row r="985" spans="2:6" ht="13.5" thickTop="1">
      <c r="B985" s="884"/>
      <c r="C985" s="880"/>
      <c r="D985" s="309"/>
      <c r="E985" s="880"/>
      <c r="F985" s="885"/>
    </row>
    <row r="986" spans="2:6" ht="12.75">
      <c r="B986" s="49" t="s">
        <v>550</v>
      </c>
      <c r="C986" s="880"/>
      <c r="D986" s="309"/>
      <c r="E986" s="880"/>
      <c r="F986" s="880"/>
    </row>
    <row r="987" spans="2:6" ht="13.5" thickBot="1">
      <c r="B987" s="49" t="s">
        <v>551</v>
      </c>
      <c r="C987" s="888"/>
      <c r="D987" s="889"/>
      <c r="E987" s="888"/>
      <c r="F987" s="888"/>
    </row>
    <row r="988" spans="2:6" ht="13.5" thickTop="1">
      <c r="B988" s="872" t="s">
        <v>139</v>
      </c>
      <c r="C988" s="873">
        <v>1.05</v>
      </c>
      <c r="D988" s="173" t="s">
        <v>7</v>
      </c>
      <c r="E988" s="873">
        <f>E978</f>
        <v>4455.62</v>
      </c>
      <c r="F988" s="510">
        <f>ROUND(C988*E988,2)</f>
        <v>4678.4</v>
      </c>
    </row>
    <row r="989" spans="2:6" ht="12.75">
      <c r="B989" s="874" t="s">
        <v>153</v>
      </c>
      <c r="C989" s="875">
        <v>4.79</v>
      </c>
      <c r="D989" s="174" t="s">
        <v>33</v>
      </c>
      <c r="E989" s="875">
        <f>E979</f>
        <v>2600.55</v>
      </c>
      <c r="F989" s="515">
        <f>ROUND(C989*E989,2)</f>
        <v>12456.63</v>
      </c>
    </row>
    <row r="990" spans="2:6" ht="12.75">
      <c r="B990" s="874" t="s">
        <v>247</v>
      </c>
      <c r="C990" s="875">
        <v>16</v>
      </c>
      <c r="D990" s="174" t="s">
        <v>20</v>
      </c>
      <c r="E990" s="875">
        <v>100</v>
      </c>
      <c r="F990" s="515">
        <f>ROUND(C990*E990,2)</f>
        <v>1600</v>
      </c>
    </row>
    <row r="991" spans="2:6" ht="13.5" thickBot="1">
      <c r="B991" s="876"/>
      <c r="C991" s="877"/>
      <c r="D991" s="183"/>
      <c r="E991" s="878"/>
      <c r="F991" s="879">
        <f>SUM(F988:F990)</f>
        <v>18735.03</v>
      </c>
    </row>
    <row r="992" spans="2:6" ht="13.5" thickTop="1">
      <c r="B992" s="307" t="s">
        <v>298</v>
      </c>
      <c r="C992" s="880">
        <v>0.18</v>
      </c>
      <c r="D992" s="309" t="s">
        <v>7</v>
      </c>
      <c r="E992" s="880"/>
      <c r="F992" s="880"/>
    </row>
    <row r="993" spans="2:6" ht="12.75">
      <c r="B993" s="307" t="s">
        <v>552</v>
      </c>
      <c r="C993" s="880">
        <f>F991*C992</f>
        <v>3372.31</v>
      </c>
      <c r="D993" s="309" t="s">
        <v>553</v>
      </c>
      <c r="E993" s="880"/>
      <c r="F993" s="880"/>
    </row>
    <row r="994" spans="2:6" ht="13.5" thickBot="1">
      <c r="B994" s="49" t="s">
        <v>554</v>
      </c>
      <c r="C994" s="888"/>
      <c r="D994" s="889"/>
      <c r="E994" s="888"/>
      <c r="F994" s="888"/>
    </row>
    <row r="995" spans="2:6" ht="13.5" thickTop="1">
      <c r="B995" s="872" t="s">
        <v>139</v>
      </c>
      <c r="C995" s="873">
        <v>1.05</v>
      </c>
      <c r="D995" s="173" t="s">
        <v>7</v>
      </c>
      <c r="E995" s="873">
        <f>E988</f>
        <v>4455.62</v>
      </c>
      <c r="F995" s="510">
        <f>ROUND(C995*E995,2)</f>
        <v>4678.4</v>
      </c>
    </row>
    <row r="996" spans="2:6" ht="12.75">
      <c r="B996" s="874" t="s">
        <v>153</v>
      </c>
      <c r="C996" s="875">
        <v>1.43</v>
      </c>
      <c r="D996" s="174" t="s">
        <v>33</v>
      </c>
      <c r="E996" s="875">
        <f>E989</f>
        <v>2600.55</v>
      </c>
      <c r="F996" s="515">
        <f>ROUND(C996*E996,2)</f>
        <v>3718.79</v>
      </c>
    </row>
    <row r="997" spans="2:6" ht="13.5" thickBot="1">
      <c r="B997" s="876"/>
      <c r="C997" s="877"/>
      <c r="D997" s="183"/>
      <c r="E997" s="878"/>
      <c r="F997" s="879">
        <f>SUM(F995:F996)</f>
        <v>8397.19</v>
      </c>
    </row>
    <row r="998" spans="2:6" ht="13.5" thickTop="1">
      <c r="B998" s="890" t="s">
        <v>555</v>
      </c>
      <c r="C998" s="891">
        <v>0.14</v>
      </c>
      <c r="D998" s="173" t="s">
        <v>7</v>
      </c>
      <c r="E998" s="891"/>
      <c r="F998" s="892"/>
    </row>
    <row r="999" spans="2:6" ht="12.75">
      <c r="B999" s="893" t="s">
        <v>552</v>
      </c>
      <c r="C999" s="894">
        <f>F997*C998</f>
        <v>1175.61</v>
      </c>
      <c r="D999" s="174" t="s">
        <v>553</v>
      </c>
      <c r="E999" s="894"/>
      <c r="F999" s="895"/>
    </row>
    <row r="1000" spans="2:6" ht="12.75">
      <c r="B1000" s="893" t="s">
        <v>556</v>
      </c>
      <c r="C1000" s="896">
        <v>1</v>
      </c>
      <c r="D1000" s="174" t="s">
        <v>124</v>
      </c>
      <c r="E1000" s="897">
        <f>C999+C993</f>
        <v>4547.92</v>
      </c>
      <c r="F1000" s="515">
        <f>ROUND(C1000*E1000,2)</f>
        <v>4547.92</v>
      </c>
    </row>
    <row r="1001" spans="2:6" ht="12.75">
      <c r="B1001" s="893" t="s">
        <v>275</v>
      </c>
      <c r="C1001" s="896">
        <v>2.86</v>
      </c>
      <c r="D1001" s="898" t="s">
        <v>8</v>
      </c>
      <c r="E1001" s="897">
        <f>F99</f>
        <v>246.8</v>
      </c>
      <c r="F1001" s="515">
        <f>ROUND(C1001*E1001,2)</f>
        <v>705.85</v>
      </c>
    </row>
    <row r="1002" spans="2:6" ht="12.75">
      <c r="B1002" s="893" t="s">
        <v>86</v>
      </c>
      <c r="C1002" s="896">
        <v>12.2</v>
      </c>
      <c r="D1002" s="898" t="s">
        <v>20</v>
      </c>
      <c r="E1002" s="897">
        <f>F137</f>
        <v>60.57</v>
      </c>
      <c r="F1002" s="515">
        <f>ROUND(C1002*E1002,2)</f>
        <v>738.95</v>
      </c>
    </row>
    <row r="1003" spans="2:6" ht="12.75">
      <c r="B1003" s="893" t="s">
        <v>290</v>
      </c>
      <c r="C1003" s="896">
        <v>1.76</v>
      </c>
      <c r="D1003" s="898" t="s">
        <v>8</v>
      </c>
      <c r="E1003" s="897">
        <v>90.3</v>
      </c>
      <c r="F1003" s="515">
        <f>ROUND(C1003*E1003,2)</f>
        <v>158.93</v>
      </c>
    </row>
    <row r="1004" spans="2:6" ht="12.75">
      <c r="B1004" s="893" t="s">
        <v>557</v>
      </c>
      <c r="C1004" s="1384" t="s">
        <v>549</v>
      </c>
      <c r="D1004" s="1384"/>
      <c r="E1004" s="1384"/>
      <c r="F1004" s="899">
        <f>SUM(F1000:F1003)</f>
        <v>6151.65</v>
      </c>
    </row>
    <row r="1005" spans="2:6" ht="13.5" thickBot="1">
      <c r="B1005" s="900" t="s">
        <v>550</v>
      </c>
      <c r="C1005" s="901" t="s">
        <v>552</v>
      </c>
      <c r="D1005" s="183"/>
      <c r="E1005" s="902">
        <f>F1004</f>
        <v>6151.65</v>
      </c>
      <c r="F1005" s="903"/>
    </row>
    <row r="1006" spans="2:6" ht="13.5" thickTop="1">
      <c r="B1006" s="884"/>
      <c r="C1006" s="904"/>
      <c r="D1006" s="309"/>
      <c r="E1006" s="885"/>
      <c r="F1006" s="880"/>
    </row>
    <row r="1007" spans="2:6" ht="12.75">
      <c r="B1007" s="1385" t="s">
        <v>558</v>
      </c>
      <c r="C1007" s="1385"/>
      <c r="D1007" s="1385"/>
      <c r="E1007" s="1385"/>
      <c r="F1007" s="905"/>
    </row>
    <row r="1008" spans="2:6" ht="12.75">
      <c r="B1008" s="906"/>
      <c r="C1008" s="906"/>
      <c r="D1008" s="906"/>
      <c r="E1008" s="906"/>
      <c r="F1008" s="907"/>
    </row>
    <row r="1009" spans="2:6" ht="13.5" thickBot="1">
      <c r="B1009" s="908" t="s">
        <v>559</v>
      </c>
      <c r="C1009" s="909"/>
      <c r="D1009" s="216"/>
      <c r="E1009" s="910"/>
      <c r="F1009" s="910"/>
    </row>
    <row r="1010" spans="2:6" ht="13.5" thickTop="1">
      <c r="B1010" s="911" t="s">
        <v>515</v>
      </c>
      <c r="C1010" s="912">
        <v>1.05</v>
      </c>
      <c r="D1010" s="96" t="s">
        <v>7</v>
      </c>
      <c r="E1010" s="97">
        <f>F60</f>
        <v>4455.62</v>
      </c>
      <c r="F1010" s="913">
        <f>ROUND(C1010*E1010,2)</f>
        <v>4678.4</v>
      </c>
    </row>
    <row r="1011" spans="2:6" ht="12.75">
      <c r="B1011" s="914" t="s">
        <v>560</v>
      </c>
      <c r="C1011" s="98">
        <v>0.6</v>
      </c>
      <c r="D1011" s="99" t="s">
        <v>33</v>
      </c>
      <c r="E1011" s="861">
        <f>E989</f>
        <v>2600.55</v>
      </c>
      <c r="F1011" s="915">
        <f>ROUND(C1011*E1011,2)</f>
        <v>1560.33</v>
      </c>
    </row>
    <row r="1012" spans="2:6" ht="12.75">
      <c r="B1012" s="916" t="s">
        <v>561</v>
      </c>
      <c r="C1012" s="917">
        <v>8.89</v>
      </c>
      <c r="D1012" s="918" t="s">
        <v>20</v>
      </c>
      <c r="E1012" s="919">
        <v>80.55</v>
      </c>
      <c r="F1012" s="915">
        <f>ROUND(C1012*E1012,2)</f>
        <v>716.09</v>
      </c>
    </row>
    <row r="1013" spans="2:6" ht="13.5" thickBot="1">
      <c r="B1013" s="920"/>
      <c r="C1013" s="921"/>
      <c r="D1013" s="1386" t="s">
        <v>562</v>
      </c>
      <c r="E1013" s="1386"/>
      <c r="F1013" s="338">
        <f>SUM(F1010:F1012)</f>
        <v>6954.82</v>
      </c>
    </row>
    <row r="1014" spans="2:6" ht="14.25" thickBot="1" thickTop="1">
      <c r="B1014" s="884"/>
      <c r="C1014" s="904"/>
      <c r="D1014" s="309"/>
      <c r="E1014" s="885"/>
      <c r="F1014" s="880"/>
    </row>
    <row r="1015" spans="2:6" ht="13.5" thickTop="1">
      <c r="B1015" s="922" t="s">
        <v>0</v>
      </c>
      <c r="C1015" s="923">
        <v>12</v>
      </c>
      <c r="D1015" s="173" t="s">
        <v>20</v>
      </c>
      <c r="E1015" s="891">
        <v>60</v>
      </c>
      <c r="F1015" s="924">
        <f>ROUND(C1015*E1015,2)</f>
        <v>720</v>
      </c>
    </row>
    <row r="1016" spans="2:6" ht="12.75">
      <c r="B1016" s="925" t="s">
        <v>563</v>
      </c>
      <c r="C1016" s="926">
        <v>2.7</v>
      </c>
      <c r="D1016" s="927" t="s">
        <v>7</v>
      </c>
      <c r="E1016" s="928">
        <v>240.23</v>
      </c>
      <c r="F1016" s="929">
        <f>ROUND(C1016*E1016,2)</f>
        <v>648.62</v>
      </c>
    </row>
    <row r="1017" spans="2:6" ht="12.75">
      <c r="B1017" s="930" t="s">
        <v>155</v>
      </c>
      <c r="C1017" s="931">
        <v>1.35</v>
      </c>
      <c r="D1017" s="932" t="s">
        <v>7</v>
      </c>
      <c r="E1017" s="933">
        <v>70.16</v>
      </c>
      <c r="F1017" s="929">
        <f aca="true" t="shared" si="11" ref="F1017:F1035">ROUND(C1017*E1017,2)</f>
        <v>94.72</v>
      </c>
    </row>
    <row r="1018" spans="2:6" ht="12.75">
      <c r="B1018" s="930" t="s">
        <v>417</v>
      </c>
      <c r="C1018" s="931">
        <v>1.62</v>
      </c>
      <c r="D1018" s="932" t="s">
        <v>7</v>
      </c>
      <c r="E1018" s="933">
        <v>75</v>
      </c>
      <c r="F1018" s="929">
        <f t="shared" si="11"/>
        <v>121.5</v>
      </c>
    </row>
    <row r="1019" spans="2:6" ht="12.75">
      <c r="B1019" s="934" t="s">
        <v>564</v>
      </c>
      <c r="C1019" s="935">
        <v>1.35</v>
      </c>
      <c r="D1019" s="932" t="s">
        <v>7</v>
      </c>
      <c r="E1019" s="933">
        <f>F1013</f>
        <v>6954.82</v>
      </c>
      <c r="F1019" s="929">
        <f t="shared" si="11"/>
        <v>9389.01</v>
      </c>
    </row>
    <row r="1020" spans="2:6" ht="12.75">
      <c r="B1020" s="930" t="s">
        <v>565</v>
      </c>
      <c r="C1020" s="931">
        <v>7.68</v>
      </c>
      <c r="D1020" s="932" t="s">
        <v>8</v>
      </c>
      <c r="E1020" s="933">
        <f>F200</f>
        <v>760.92</v>
      </c>
      <c r="F1020" s="929">
        <f t="shared" si="11"/>
        <v>5843.87</v>
      </c>
    </row>
    <row r="1021" spans="2:6" ht="12.75">
      <c r="B1021" s="930" t="s">
        <v>566</v>
      </c>
      <c r="C1021" s="931">
        <v>12</v>
      </c>
      <c r="D1021" s="932" t="s">
        <v>20</v>
      </c>
      <c r="E1021" s="933">
        <f>(F710*0.09)/12</f>
        <v>0.83</v>
      </c>
      <c r="F1021" s="929">
        <f t="shared" si="11"/>
        <v>9.96</v>
      </c>
    </row>
    <row r="1022" spans="2:6" ht="12.75">
      <c r="B1022" s="930" t="s">
        <v>567</v>
      </c>
      <c r="C1022" s="931">
        <v>4</v>
      </c>
      <c r="D1022" s="932" t="s">
        <v>124</v>
      </c>
      <c r="E1022" s="933">
        <v>562.6</v>
      </c>
      <c r="F1022" s="929">
        <f t="shared" si="11"/>
        <v>2250.4</v>
      </c>
    </row>
    <row r="1023" spans="2:6" ht="12.75">
      <c r="B1023" s="930" t="s">
        <v>568</v>
      </c>
      <c r="C1023" s="931">
        <v>4</v>
      </c>
      <c r="D1023" s="932" t="s">
        <v>124</v>
      </c>
      <c r="E1023" s="933">
        <v>640.68</v>
      </c>
      <c r="F1023" s="929">
        <f t="shared" si="11"/>
        <v>2562.72</v>
      </c>
    </row>
    <row r="1024" spans="2:6" ht="12.75">
      <c r="B1024" s="930" t="s">
        <v>569</v>
      </c>
      <c r="C1024" s="931">
        <v>2</v>
      </c>
      <c r="D1024" s="932" t="s">
        <v>124</v>
      </c>
      <c r="E1024" s="933">
        <v>54.5</v>
      </c>
      <c r="F1024" s="929">
        <f t="shared" si="11"/>
        <v>109</v>
      </c>
    </row>
    <row r="1025" spans="2:6" ht="12.75">
      <c r="B1025" s="930" t="s">
        <v>570</v>
      </c>
      <c r="C1025" s="931">
        <v>3</v>
      </c>
      <c r="D1025" s="932" t="s">
        <v>124</v>
      </c>
      <c r="E1025" s="933">
        <v>50.16</v>
      </c>
      <c r="F1025" s="929">
        <f t="shared" si="11"/>
        <v>150.48</v>
      </c>
    </row>
    <row r="1026" spans="2:6" ht="12.75">
      <c r="B1026" s="930" t="s">
        <v>571</v>
      </c>
      <c r="C1026" s="931">
        <v>2</v>
      </c>
      <c r="D1026" s="932" t="s">
        <v>124</v>
      </c>
      <c r="E1026" s="933">
        <v>272.59</v>
      </c>
      <c r="F1026" s="929">
        <f t="shared" si="11"/>
        <v>545.18</v>
      </c>
    </row>
    <row r="1027" spans="2:6" ht="12.75">
      <c r="B1027" s="930" t="s">
        <v>572</v>
      </c>
      <c r="C1027" s="931">
        <v>10</v>
      </c>
      <c r="D1027" s="932" t="s">
        <v>124</v>
      </c>
      <c r="E1027" s="933">
        <v>22.93</v>
      </c>
      <c r="F1027" s="929">
        <f t="shared" si="11"/>
        <v>229.3</v>
      </c>
    </row>
    <row r="1028" spans="2:6" ht="12.75">
      <c r="B1028" s="930" t="s">
        <v>573</v>
      </c>
      <c r="C1028" s="931">
        <v>9</v>
      </c>
      <c r="D1028" s="932" t="s">
        <v>8</v>
      </c>
      <c r="E1028" s="933">
        <v>243.9</v>
      </c>
      <c r="F1028" s="929">
        <f t="shared" si="11"/>
        <v>2195.1</v>
      </c>
    </row>
    <row r="1029" spans="2:6" ht="12.75">
      <c r="B1029" s="930" t="s">
        <v>164</v>
      </c>
      <c r="C1029" s="931">
        <v>4</v>
      </c>
      <c r="D1029" s="932" t="s">
        <v>124</v>
      </c>
      <c r="E1029" s="933">
        <v>197</v>
      </c>
      <c r="F1029" s="929">
        <f t="shared" si="11"/>
        <v>788</v>
      </c>
    </row>
    <row r="1030" spans="2:6" ht="12.75">
      <c r="B1030" s="934" t="s">
        <v>574</v>
      </c>
      <c r="C1030" s="935">
        <v>1</v>
      </c>
      <c r="D1030" s="932" t="s">
        <v>111</v>
      </c>
      <c r="E1030" s="936">
        <v>32</v>
      </c>
      <c r="F1030" s="929">
        <f t="shared" si="11"/>
        <v>32</v>
      </c>
    </row>
    <row r="1031" spans="2:6" ht="12.75">
      <c r="B1031" s="934" t="s">
        <v>165</v>
      </c>
      <c r="C1031" s="931">
        <v>72</v>
      </c>
      <c r="D1031" s="932" t="s">
        <v>20</v>
      </c>
      <c r="E1031" s="933">
        <v>6.5</v>
      </c>
      <c r="F1031" s="929">
        <f t="shared" si="11"/>
        <v>468</v>
      </c>
    </row>
    <row r="1032" spans="2:6" ht="12.75">
      <c r="B1032" s="930" t="s">
        <v>575</v>
      </c>
      <c r="C1032" s="931">
        <v>9.6</v>
      </c>
      <c r="D1032" s="932" t="s">
        <v>8</v>
      </c>
      <c r="E1032" s="933">
        <f>F99</f>
        <v>246.8</v>
      </c>
      <c r="F1032" s="929">
        <f t="shared" si="11"/>
        <v>2369.28</v>
      </c>
    </row>
    <row r="1033" spans="2:6" ht="25.5">
      <c r="B1033" s="937" t="s">
        <v>576</v>
      </c>
      <c r="C1033" s="931">
        <v>34.2</v>
      </c>
      <c r="D1033" s="932" t="s">
        <v>8</v>
      </c>
      <c r="E1033" s="933">
        <v>130.5</v>
      </c>
      <c r="F1033" s="929">
        <f t="shared" si="11"/>
        <v>4463.1</v>
      </c>
    </row>
    <row r="1034" spans="2:6" ht="12.75">
      <c r="B1034" s="930" t="s">
        <v>171</v>
      </c>
      <c r="C1034" s="931">
        <v>12.48</v>
      </c>
      <c r="D1034" s="932" t="s">
        <v>8</v>
      </c>
      <c r="E1034" s="933">
        <v>130.5</v>
      </c>
      <c r="F1034" s="929">
        <f t="shared" si="11"/>
        <v>1628.64</v>
      </c>
    </row>
    <row r="1035" spans="2:6" ht="12.75">
      <c r="B1035" s="930" t="s">
        <v>15</v>
      </c>
      <c r="C1035" s="931">
        <v>12</v>
      </c>
      <c r="D1035" s="932" t="s">
        <v>20</v>
      </c>
      <c r="E1035" s="933">
        <v>418.06</v>
      </c>
      <c r="F1035" s="929">
        <f t="shared" si="11"/>
        <v>5016.72</v>
      </c>
    </row>
    <row r="1036" spans="2:6" ht="12.75">
      <c r="B1036" s="938" t="s">
        <v>577</v>
      </c>
      <c r="C1036" s="931"/>
      <c r="D1036" s="932"/>
      <c r="E1036" s="939"/>
      <c r="F1036" s="940">
        <f>SUM(F1015:F1035)</f>
        <v>39635.6</v>
      </c>
    </row>
    <row r="1037" spans="2:6" ht="13.5" thickBot="1">
      <c r="B1037" s="941" t="s">
        <v>173</v>
      </c>
      <c r="C1037" s="942"/>
      <c r="D1037" s="943"/>
      <c r="E1037" s="944"/>
      <c r="F1037" s="945">
        <f>F1036/12</f>
        <v>3302.97</v>
      </c>
    </row>
    <row r="1038" spans="2:6" ht="13.5" thickTop="1">
      <c r="B1038" s="884"/>
      <c r="C1038" s="904"/>
      <c r="D1038" s="309"/>
      <c r="E1038" s="885"/>
      <c r="F1038" s="880"/>
    </row>
    <row r="1039" spans="2:6" ht="13.5" thickBot="1">
      <c r="B1039" s="366" t="s">
        <v>578</v>
      </c>
      <c r="C1039" s="946">
        <v>12</v>
      </c>
      <c r="D1039" s="380" t="s">
        <v>20</v>
      </c>
      <c r="E1039" s="947"/>
      <c r="F1039" s="947"/>
    </row>
    <row r="1040" spans="2:6" ht="13.5" thickTop="1">
      <c r="B1040" s="948" t="s">
        <v>579</v>
      </c>
      <c r="C1040" s="949">
        <v>3</v>
      </c>
      <c r="D1040" s="950" t="s">
        <v>580</v>
      </c>
      <c r="E1040" s="951">
        <v>39</v>
      </c>
      <c r="F1040" s="913">
        <f>ROUND(C1040*E1040,2)</f>
        <v>117</v>
      </c>
    </row>
    <row r="1041" spans="2:6" ht="12.75">
      <c r="B1041" s="952" t="s">
        <v>581</v>
      </c>
      <c r="C1041" s="953">
        <v>0.27</v>
      </c>
      <c r="D1041" s="954" t="s">
        <v>111</v>
      </c>
      <c r="E1041" s="955">
        <v>26</v>
      </c>
      <c r="F1041" s="915">
        <f>ROUND(C1041*E1041,2)</f>
        <v>7.02</v>
      </c>
    </row>
    <row r="1042" spans="2:6" ht="12.75">
      <c r="B1042" s="952" t="s">
        <v>28</v>
      </c>
      <c r="C1042" s="953">
        <v>0.48</v>
      </c>
      <c r="D1042" s="954" t="s">
        <v>27</v>
      </c>
      <c r="E1042" s="955">
        <v>106</v>
      </c>
      <c r="F1042" s="915">
        <f>ROUND(C1042*E1042,2)</f>
        <v>50.88</v>
      </c>
    </row>
    <row r="1043" spans="2:6" ht="12.75">
      <c r="B1043" s="952" t="s">
        <v>582</v>
      </c>
      <c r="C1043" s="953">
        <v>0.06</v>
      </c>
      <c r="D1043" s="954" t="s">
        <v>583</v>
      </c>
      <c r="E1043" s="955">
        <v>140</v>
      </c>
      <c r="F1043" s="915">
        <f>ROUND(C1043*E1043,2)</f>
        <v>8.4</v>
      </c>
    </row>
    <row r="1044" spans="2:6" ht="12.75">
      <c r="B1044" s="956" t="s">
        <v>584</v>
      </c>
      <c r="C1044" s="957"/>
      <c r="D1044" s="954"/>
      <c r="E1044" s="958"/>
      <c r="F1044" s="959"/>
    </row>
    <row r="1045" spans="2:6" ht="12.75">
      <c r="B1045" s="952" t="s">
        <v>585</v>
      </c>
      <c r="C1045" s="955">
        <v>0.18</v>
      </c>
      <c r="D1045" s="960" t="s">
        <v>57</v>
      </c>
      <c r="E1045" s="955">
        <v>1200</v>
      </c>
      <c r="F1045" s="915">
        <f>ROUND(C1045*E1045,2)</f>
        <v>216</v>
      </c>
    </row>
    <row r="1046" spans="2:6" ht="12.75">
      <c r="B1046" s="952" t="s">
        <v>586</v>
      </c>
      <c r="C1046" s="955">
        <v>0.41</v>
      </c>
      <c r="D1046" s="960" t="s">
        <v>57</v>
      </c>
      <c r="E1046" s="955">
        <v>780</v>
      </c>
      <c r="F1046" s="915">
        <f>ROUND(C1046*E1046,2)</f>
        <v>319.8</v>
      </c>
    </row>
    <row r="1047" spans="2:6" ht="12.75">
      <c r="B1047" s="952" t="s">
        <v>587</v>
      </c>
      <c r="C1047" s="955">
        <v>3</v>
      </c>
      <c r="D1047" s="960" t="s">
        <v>181</v>
      </c>
      <c r="E1047" s="955">
        <v>780</v>
      </c>
      <c r="F1047" s="915">
        <f>ROUND(C1047*E1047,2)/100</f>
        <v>23.4</v>
      </c>
    </row>
    <row r="1048" spans="2:6" ht="12.75">
      <c r="B1048" s="952"/>
      <c r="C1048" s="957"/>
      <c r="D1048" s="958"/>
      <c r="E1048" s="958"/>
      <c r="F1048" s="961">
        <f>SUM(F1040:F1047)</f>
        <v>742.5</v>
      </c>
    </row>
    <row r="1049" spans="2:6" ht="13.5" thickBot="1">
      <c r="B1049" s="962"/>
      <c r="C1049" s="963"/>
      <c r="D1049" s="964"/>
      <c r="E1049" s="965" t="s">
        <v>588</v>
      </c>
      <c r="F1049" s="966">
        <f>F1048/C1039</f>
        <v>61.88</v>
      </c>
    </row>
    <row r="1050" spans="2:6" ht="13.5" thickTop="1">
      <c r="B1050" s="967"/>
      <c r="C1050" s="968"/>
      <c r="D1050" s="969"/>
      <c r="E1050" s="970"/>
      <c r="F1050" s="883"/>
    </row>
    <row r="1051" spans="2:6" ht="13.5" thickBot="1">
      <c r="B1051" s="366" t="s">
        <v>15</v>
      </c>
      <c r="C1051" s="971"/>
      <c r="D1051" s="947"/>
      <c r="E1051" s="947"/>
      <c r="F1051" s="947"/>
    </row>
    <row r="1052" spans="2:6" ht="13.5" thickTop="1">
      <c r="B1052" s="948" t="s">
        <v>589</v>
      </c>
      <c r="C1052" s="949">
        <v>1</v>
      </c>
      <c r="D1052" s="950" t="s">
        <v>57</v>
      </c>
      <c r="E1052" s="951">
        <v>1200</v>
      </c>
      <c r="F1052" s="913">
        <f>ROUND(C1052*E1052,2)</f>
        <v>1200</v>
      </c>
    </row>
    <row r="1053" spans="2:6" ht="12.75">
      <c r="B1053" s="952" t="s">
        <v>590</v>
      </c>
      <c r="C1053" s="953">
        <v>1</v>
      </c>
      <c r="D1053" s="954" t="s">
        <v>57</v>
      </c>
      <c r="E1053" s="955">
        <v>950</v>
      </c>
      <c r="F1053" s="915">
        <f>ROUND(C1053*E1053,2)</f>
        <v>950</v>
      </c>
    </row>
    <row r="1054" spans="2:6" ht="12.75">
      <c r="B1054" s="952" t="s">
        <v>591</v>
      </c>
      <c r="C1054" s="953">
        <v>1</v>
      </c>
      <c r="D1054" s="954" t="s">
        <v>57</v>
      </c>
      <c r="E1054" s="955">
        <v>1300</v>
      </c>
      <c r="F1054" s="915">
        <f>ROUND(C1054*E1054,2)</f>
        <v>1300</v>
      </c>
    </row>
    <row r="1055" spans="2:6" ht="12.75">
      <c r="B1055" s="952" t="s">
        <v>587</v>
      </c>
      <c r="C1055" s="953">
        <v>3</v>
      </c>
      <c r="D1055" s="954" t="s">
        <v>181</v>
      </c>
      <c r="E1055" s="955">
        <f>SUM(F1052:F1054)</f>
        <v>3450</v>
      </c>
      <c r="F1055" s="915">
        <f>ROUND(C1055*E1055,2)/100</f>
        <v>103.5</v>
      </c>
    </row>
    <row r="1056" spans="2:6" ht="12.75">
      <c r="B1056" s="952" t="s">
        <v>592</v>
      </c>
      <c r="C1056" s="953">
        <v>8.5</v>
      </c>
      <c r="D1056" s="954" t="s">
        <v>593</v>
      </c>
      <c r="E1056" s="972" t="s">
        <v>594</v>
      </c>
      <c r="F1056" s="961">
        <f>SUM(F1052:F1055)</f>
        <v>3553.5</v>
      </c>
    </row>
    <row r="1057" spans="2:6" ht="13.5" thickBot="1">
      <c r="B1057" s="973"/>
      <c r="C1057" s="974"/>
      <c r="D1057" s="975"/>
      <c r="E1057" s="976" t="s">
        <v>588</v>
      </c>
      <c r="F1057" s="977">
        <f>F1056/C1056</f>
        <v>418.06</v>
      </c>
    </row>
    <row r="1058" spans="2:6" ht="14.25" thickBot="1" thickTop="1">
      <c r="B1058" s="978" t="s">
        <v>595</v>
      </c>
      <c r="C1058" s="979">
        <v>10</v>
      </c>
      <c r="D1058" s="980" t="s">
        <v>593</v>
      </c>
      <c r="E1058" s="979"/>
      <c r="F1058" s="981">
        <f>F1056/C1058</f>
        <v>355.35</v>
      </c>
    </row>
    <row r="1059" spans="2:6" ht="13.5" thickTop="1">
      <c r="B1059" s="37"/>
      <c r="C1059" s="37"/>
      <c r="D1059" s="37"/>
      <c r="E1059" s="884"/>
      <c r="F1059" s="982"/>
    </row>
    <row r="1060" spans="2:6" ht="13.5" thickBot="1">
      <c r="B1060" s="983" t="s">
        <v>596</v>
      </c>
      <c r="C1060" s="870"/>
      <c r="D1060" s="301"/>
      <c r="E1060" s="870"/>
      <c r="F1060" s="870"/>
    </row>
    <row r="1061" spans="2:6" ht="13.5" thickTop="1">
      <c r="B1061" s="984" t="s">
        <v>28</v>
      </c>
      <c r="C1061" s="985">
        <v>2</v>
      </c>
      <c r="D1061" s="986" t="s">
        <v>27</v>
      </c>
      <c r="E1061" s="985">
        <f>F591</f>
        <v>5046.9</v>
      </c>
      <c r="F1061" s="987">
        <f>ROUND(C1061*E1061,2)</f>
        <v>10093.8</v>
      </c>
    </row>
    <row r="1062" spans="2:6" ht="12.75">
      <c r="B1062" s="988" t="s">
        <v>597</v>
      </c>
      <c r="C1062" s="989">
        <v>0.01</v>
      </c>
      <c r="D1062" s="990" t="s">
        <v>124</v>
      </c>
      <c r="E1062" s="989">
        <v>725</v>
      </c>
      <c r="F1062" s="991">
        <f>ROUND(C1062*E1062,2)</f>
        <v>7.25</v>
      </c>
    </row>
    <row r="1063" spans="2:6" ht="12.75">
      <c r="B1063" s="992" t="str">
        <f>CONCATENATE("MAESTRO(1 U) @,",F613,"/DIA")</f>
        <v>MAESTRO(1 U) @,1900/DIA</v>
      </c>
      <c r="C1063" s="989">
        <v>1</v>
      </c>
      <c r="D1063" s="990" t="s">
        <v>208</v>
      </c>
      <c r="E1063" s="989">
        <f>E613/8</f>
        <v>237.5</v>
      </c>
      <c r="F1063" s="991">
        <f>ROUND(C1063*E1063,2)</f>
        <v>237.5</v>
      </c>
    </row>
    <row r="1064" spans="2:6" ht="12.75">
      <c r="B1064" s="992" t="str">
        <f>CONCATENATE("PEON (4 U) @,",F617," C/U /DIA")</f>
        <v>PEON (4 U) @,5000 C/U /DIA</v>
      </c>
      <c r="C1064" s="989">
        <v>1</v>
      </c>
      <c r="D1064" s="990" t="s">
        <v>208</v>
      </c>
      <c r="E1064" s="989">
        <f>(E617*G1064)/8</f>
        <v>0</v>
      </c>
      <c r="F1064" s="991">
        <f>ROUND(C1064*E1064,2)</f>
        <v>0</v>
      </c>
    </row>
    <row r="1065" spans="2:6" ht="12.75">
      <c r="B1065" s="993" t="s">
        <v>268</v>
      </c>
      <c r="C1065" s="994">
        <v>200</v>
      </c>
      <c r="D1065" s="995" t="s">
        <v>593</v>
      </c>
      <c r="E1065" s="996" t="s">
        <v>598</v>
      </c>
      <c r="F1065" s="997">
        <f>SUM(F1061:F1064)</f>
        <v>10338.55</v>
      </c>
    </row>
    <row r="1066" spans="2:6" ht="12.75">
      <c r="B1066" s="993"/>
      <c r="C1066" s="998"/>
      <c r="D1066" s="995"/>
      <c r="E1066" s="996" t="s">
        <v>599</v>
      </c>
      <c r="F1066" s="997">
        <f>F1065/C1065</f>
        <v>51.69</v>
      </c>
    </row>
    <row r="1067" spans="2:6" ht="13.5" thickBot="1">
      <c r="B1067" s="999"/>
      <c r="C1067" s="1000"/>
      <c r="D1067" s="1001"/>
      <c r="E1067" s="1002" t="s">
        <v>599</v>
      </c>
      <c r="F1067" s="1003">
        <v>5</v>
      </c>
    </row>
    <row r="1068" ht="13.5" thickTop="1"/>
    <row r="1069" spans="2:6" ht="13.5" thickBot="1">
      <c r="B1069" s="1004" t="s">
        <v>600</v>
      </c>
      <c r="C1069" s="1005"/>
      <c r="D1069" s="1005"/>
      <c r="E1069" s="1006"/>
      <c r="F1069" s="1007"/>
    </row>
    <row r="1070" spans="2:6" ht="13.5" thickTop="1">
      <c r="B1070" s="1008" t="s">
        <v>601</v>
      </c>
      <c r="C1070" s="1009">
        <v>3.28</v>
      </c>
      <c r="D1070" s="1010" t="s">
        <v>423</v>
      </c>
      <c r="E1070" s="1011">
        <v>143.84</v>
      </c>
      <c r="F1070" s="1012">
        <f>C1070*E1070</f>
        <v>471.8</v>
      </c>
    </row>
    <row r="1071" spans="2:6" ht="12.75">
      <c r="B1071" s="1013" t="s">
        <v>602</v>
      </c>
      <c r="C1071" s="1014">
        <v>15</v>
      </c>
      <c r="D1071" s="1015" t="s">
        <v>181</v>
      </c>
      <c r="E1071" s="1016">
        <f>+F1070</f>
        <v>471.8</v>
      </c>
      <c r="F1071" s="1017">
        <f>C1071*E1071/100</f>
        <v>70.77</v>
      </c>
    </row>
    <row r="1072" spans="2:6" ht="12.75">
      <c r="B1072" s="1018" t="s">
        <v>603</v>
      </c>
      <c r="C1072" s="1014">
        <v>1</v>
      </c>
      <c r="D1072" s="1019" t="s">
        <v>20</v>
      </c>
      <c r="E1072" s="1016">
        <v>20</v>
      </c>
      <c r="F1072" s="1017">
        <f>C1072*E1072</f>
        <v>20</v>
      </c>
    </row>
    <row r="1073" spans="2:6" ht="13.5" thickBot="1">
      <c r="B1073" s="1020"/>
      <c r="C1073" s="1020"/>
      <c r="D1073" s="1020"/>
      <c r="E1073" s="564" t="s">
        <v>604</v>
      </c>
      <c r="F1073" s="1021">
        <f>ROUND(SUM(F1070:F1072),2)</f>
        <v>562.57</v>
      </c>
    </row>
    <row r="1074" spans="2:6" ht="13.5" thickTop="1">
      <c r="B1074" s="37"/>
      <c r="C1074" s="37"/>
      <c r="D1074" s="37"/>
      <c r="E1074" s="37"/>
      <c r="F1074" s="37"/>
    </row>
    <row r="1075" spans="2:6" ht="12.75">
      <c r="B1075" s="983" t="s">
        <v>605</v>
      </c>
      <c r="C1075" s="870"/>
      <c r="D1075" s="301"/>
      <c r="E1075" s="1022"/>
      <c r="F1075" s="870"/>
    </row>
    <row r="1076" spans="2:6" ht="12.75">
      <c r="B1076" s="1023" t="s">
        <v>606</v>
      </c>
      <c r="C1076" s="1024" t="s">
        <v>607</v>
      </c>
      <c r="D1076" s="301"/>
      <c r="E1076" s="1022"/>
      <c r="F1076" s="870"/>
    </row>
    <row r="1077" spans="2:6" ht="13.5" thickBot="1">
      <c r="B1077" s="1023" t="s">
        <v>608</v>
      </c>
      <c r="C1077" s="1024" t="s">
        <v>609</v>
      </c>
      <c r="D1077" s="301"/>
      <c r="E1077" s="870"/>
      <c r="F1077" s="870"/>
    </row>
    <row r="1078" spans="2:6" ht="13.5" thickTop="1">
      <c r="B1078" s="522" t="s">
        <v>610</v>
      </c>
      <c r="C1078" s="508">
        <v>12.1</v>
      </c>
      <c r="D1078" s="524" t="s">
        <v>64</v>
      </c>
      <c r="E1078" s="508">
        <f>F713</f>
        <v>8.6</v>
      </c>
      <c r="F1078" s="510">
        <f aca="true" t="shared" si="12" ref="F1078:F1083">ROUND(C1078*E1078,2)</f>
        <v>104.06</v>
      </c>
    </row>
    <row r="1079" spans="2:6" ht="12.75">
      <c r="B1079" s="525" t="s">
        <v>611</v>
      </c>
      <c r="C1079" s="514">
        <v>5.5</v>
      </c>
      <c r="D1079" s="526" t="s">
        <v>111</v>
      </c>
      <c r="E1079" s="514">
        <f>F716</f>
        <v>925.02</v>
      </c>
      <c r="F1079" s="515">
        <f t="shared" si="12"/>
        <v>5087.61</v>
      </c>
    </row>
    <row r="1080" spans="2:6" ht="12.75">
      <c r="B1080" s="525" t="s">
        <v>612</v>
      </c>
      <c r="C1080" s="514">
        <v>1.02</v>
      </c>
      <c r="D1080" s="526" t="s">
        <v>7</v>
      </c>
      <c r="E1080" s="514">
        <f>F810</f>
        <v>1.35</v>
      </c>
      <c r="F1080" s="515">
        <f t="shared" si="12"/>
        <v>1.38</v>
      </c>
    </row>
    <row r="1081" spans="2:6" ht="12.75">
      <c r="B1081" s="525" t="s">
        <v>613</v>
      </c>
      <c r="C1081" s="514">
        <v>0.1</v>
      </c>
      <c r="D1081" s="526" t="s">
        <v>7</v>
      </c>
      <c r="E1081" s="514">
        <f>+F828</f>
        <v>0</v>
      </c>
      <c r="F1081" s="515">
        <f t="shared" si="12"/>
        <v>0</v>
      </c>
    </row>
    <row r="1082" spans="2:6" ht="12.75">
      <c r="B1082" s="525" t="s">
        <v>614</v>
      </c>
      <c r="C1082" s="514">
        <v>0.08</v>
      </c>
      <c r="D1082" s="526" t="s">
        <v>7</v>
      </c>
      <c r="E1082" s="514">
        <v>317.81</v>
      </c>
      <c r="F1082" s="515">
        <f t="shared" si="12"/>
        <v>25.42</v>
      </c>
    </row>
    <row r="1083" spans="2:6" ht="12.75">
      <c r="B1083" s="525" t="s">
        <v>615</v>
      </c>
      <c r="C1083" s="514">
        <v>10</v>
      </c>
      <c r="D1083" s="526" t="s">
        <v>20</v>
      </c>
      <c r="E1083" s="514">
        <v>111.99</v>
      </c>
      <c r="F1083" s="515">
        <f t="shared" si="12"/>
        <v>1119.9</v>
      </c>
    </row>
    <row r="1084" spans="2:6" ht="13.5" thickBot="1">
      <c r="B1084" s="1025"/>
      <c r="C1084" s="1000"/>
      <c r="D1084" s="520"/>
      <c r="E1084" s="1026" t="s">
        <v>47</v>
      </c>
      <c r="F1084" s="521">
        <f>SUM(F1078:F1083)</f>
        <v>6338.37</v>
      </c>
    </row>
    <row r="1085" spans="2:6" ht="13.5" thickTop="1">
      <c r="B1085" s="49"/>
      <c r="C1085" s="870"/>
      <c r="D1085" s="506" t="s">
        <v>88</v>
      </c>
      <c r="E1085" s="1027">
        <f>ROUND(F1084/C1083,2)</f>
        <v>633.84</v>
      </c>
      <c r="F1085" s="885" t="s">
        <v>616</v>
      </c>
    </row>
  </sheetData>
  <sheetProtection/>
  <mergeCells count="46">
    <mergeCell ref="B1:F1"/>
    <mergeCell ref="B2:F2"/>
    <mergeCell ref="B3:F3"/>
    <mergeCell ref="B4:F4"/>
    <mergeCell ref="B5:F5"/>
    <mergeCell ref="B7:D7"/>
    <mergeCell ref="D159:E159"/>
    <mergeCell ref="D160:E160"/>
    <mergeCell ref="D200:E200"/>
    <mergeCell ref="C201:E201"/>
    <mergeCell ref="B310:F310"/>
    <mergeCell ref="B335:F335"/>
    <mergeCell ref="B359:F359"/>
    <mergeCell ref="B378:F378"/>
    <mergeCell ref="B380:F380"/>
    <mergeCell ref="B388:F388"/>
    <mergeCell ref="B396:F396"/>
    <mergeCell ref="B404:F404"/>
    <mergeCell ref="B415:F415"/>
    <mergeCell ref="B437:F437"/>
    <mergeCell ref="B439:F439"/>
    <mergeCell ref="D490:E490"/>
    <mergeCell ref="D491:E491"/>
    <mergeCell ref="D512:E512"/>
    <mergeCell ref="B514:F514"/>
    <mergeCell ref="B531:F531"/>
    <mergeCell ref="B585:F585"/>
    <mergeCell ref="B621:F621"/>
    <mergeCell ref="B663:F663"/>
    <mergeCell ref="B676:F676"/>
    <mergeCell ref="B683:F683"/>
    <mergeCell ref="B733:F733"/>
    <mergeCell ref="B741:F741"/>
    <mergeCell ref="B747:F747"/>
    <mergeCell ref="B755:F755"/>
    <mergeCell ref="B761:F761"/>
    <mergeCell ref="B830:G830"/>
    <mergeCell ref="C1004:E1004"/>
    <mergeCell ref="B1007:E1007"/>
    <mergeCell ref="D1013:E1013"/>
    <mergeCell ref="B768:F768"/>
    <mergeCell ref="B777:F777"/>
    <mergeCell ref="B789:G789"/>
    <mergeCell ref="B797:G797"/>
    <mergeCell ref="B807:G807"/>
    <mergeCell ref="B822:F822"/>
  </mergeCells>
  <printOptions/>
  <pageMargins left="0.5" right="0.5" top="0.5" bottom="0.5" header="0" footer="0"/>
  <pageSetup horizontalDpi="600" verticalDpi="600" orientation="portrait" scale="56" r:id="rId1"/>
  <rowBreaks count="5" manualBreakCount="5">
    <brk id="187" max="6" man="1"/>
    <brk id="277" max="6" man="1"/>
    <brk id="687" max="6" man="1"/>
    <brk id="754" max="6" man="1"/>
    <brk id="8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S694"/>
  <sheetViews>
    <sheetView tabSelected="1" view="pageBreakPreview" zoomScaleSheetLayoutView="100" workbookViewId="0" topLeftCell="A1">
      <selection activeCell="B15" sqref="B15"/>
    </sheetView>
  </sheetViews>
  <sheetFormatPr defaultColWidth="11.421875" defaultRowHeight="12.75"/>
  <cols>
    <col min="1" max="1" width="8.28125" style="1137" customWidth="1"/>
    <col min="2" max="2" width="55.00390625" style="1085" customWidth="1"/>
    <col min="3" max="3" width="10.57421875" style="1138" customWidth="1"/>
    <col min="4" max="4" width="7.140625" style="1139" customWidth="1"/>
    <col min="5" max="5" width="12.57421875" style="1138" customWidth="1"/>
    <col min="6" max="6" width="16.8515625" style="1085" customWidth="1"/>
    <col min="7" max="16384" width="11.421875" style="1044" customWidth="1"/>
  </cols>
  <sheetData>
    <row r="1" spans="1:6" ht="12.75">
      <c r="A1" s="1422" t="s">
        <v>4</v>
      </c>
      <c r="B1" s="1422"/>
      <c r="C1" s="1422"/>
      <c r="D1" s="1422"/>
      <c r="E1" s="1422"/>
      <c r="F1" s="1422"/>
    </row>
    <row r="2" spans="1:6" ht="12.75">
      <c r="A2" s="1422" t="s">
        <v>16</v>
      </c>
      <c r="B2" s="1422"/>
      <c r="C2" s="1422"/>
      <c r="D2" s="1422"/>
      <c r="E2" s="1422"/>
      <c r="F2" s="1422"/>
    </row>
    <row r="3" spans="1:6" ht="12.75">
      <c r="A3" s="1422" t="s">
        <v>411</v>
      </c>
      <c r="B3" s="1422"/>
      <c r="C3" s="1422"/>
      <c r="D3" s="1422"/>
      <c r="E3" s="1422"/>
      <c r="F3" s="1422"/>
    </row>
    <row r="4" spans="1:6" ht="12.75">
      <c r="A4" s="1423" t="s">
        <v>617</v>
      </c>
      <c r="B4" s="1423"/>
      <c r="C4" s="1423"/>
      <c r="D4" s="1423"/>
      <c r="E4" s="1423"/>
      <c r="F4" s="1423"/>
    </row>
    <row r="5" spans="1:6" ht="13.5" customHeight="1">
      <c r="A5" s="1045"/>
      <c r="B5" s="1046"/>
      <c r="C5" s="1047"/>
      <c r="D5" s="1048"/>
      <c r="E5" s="1049"/>
      <c r="F5" s="1050"/>
    </row>
    <row r="6" spans="1:6" ht="14.25" customHeight="1">
      <c r="A6" s="1424" t="s">
        <v>677</v>
      </c>
      <c r="B6" s="1424"/>
      <c r="C6" s="1424"/>
      <c r="D6" s="1424"/>
      <c r="E6" s="1424"/>
      <c r="F6" s="1424"/>
    </row>
    <row r="7" spans="1:6" ht="14.25" customHeight="1">
      <c r="A7" s="1424" t="s">
        <v>678</v>
      </c>
      <c r="B7" s="1424"/>
      <c r="C7" s="1424"/>
      <c r="D7" s="1424"/>
      <c r="E7" s="1424"/>
      <c r="F7" s="1424"/>
    </row>
    <row r="8" spans="1:6" s="1056" customFormat="1" ht="12.75">
      <c r="A8" s="1051" t="s">
        <v>621</v>
      </c>
      <c r="B8" s="1052"/>
      <c r="C8" s="1053" t="s">
        <v>622</v>
      </c>
      <c r="D8" s="1054"/>
      <c r="E8" s="1055"/>
      <c r="F8" s="1054"/>
    </row>
    <row r="9" spans="1:6" ht="11.25" customHeight="1">
      <c r="A9" s="1419"/>
      <c r="B9" s="1419"/>
      <c r="C9" s="1419"/>
      <c r="D9" s="1419"/>
      <c r="E9" s="1419"/>
      <c r="F9" s="1419"/>
    </row>
    <row r="10" spans="1:6" ht="18" customHeight="1">
      <c r="A10" s="1057" t="s">
        <v>229</v>
      </c>
      <c r="B10" s="1058" t="s">
        <v>17</v>
      </c>
      <c r="C10" s="1059" t="s">
        <v>18</v>
      </c>
      <c r="D10" s="1059" t="s">
        <v>9</v>
      </c>
      <c r="E10" s="1060" t="s">
        <v>5</v>
      </c>
      <c r="F10" s="1059" t="s">
        <v>19</v>
      </c>
    </row>
    <row r="11" spans="1:6" s="1066" customFormat="1" ht="12.75">
      <c r="A11" s="1061"/>
      <c r="B11" s="1062"/>
      <c r="C11" s="1063"/>
      <c r="D11" s="1064"/>
      <c r="E11" s="1065"/>
      <c r="F11" s="1063"/>
    </row>
    <row r="12" spans="1:6" s="1069" customFormat="1" ht="38.25">
      <c r="A12" s="1140" t="s">
        <v>493</v>
      </c>
      <c r="B12" s="1141" t="s">
        <v>899</v>
      </c>
      <c r="C12" s="1142"/>
      <c r="D12" s="1143"/>
      <c r="E12" s="1067"/>
      <c r="F12" s="1068"/>
    </row>
    <row r="13" spans="1:6" s="1069" customFormat="1" ht="12.75" customHeight="1">
      <c r="A13" s="1144"/>
      <c r="B13" s="1145"/>
      <c r="C13" s="1146"/>
      <c r="D13" s="1143"/>
      <c r="E13" s="1067"/>
      <c r="F13" s="1068"/>
    </row>
    <row r="14" spans="1:6" s="1069" customFormat="1" ht="12.75" customHeight="1">
      <c r="A14" s="1147">
        <v>1</v>
      </c>
      <c r="B14" s="1148" t="s">
        <v>680</v>
      </c>
      <c r="C14" s="1149">
        <v>1642.17</v>
      </c>
      <c r="D14" s="1150" t="s">
        <v>20</v>
      </c>
      <c r="E14" s="1071"/>
      <c r="F14" s="1072">
        <f>+E14*C14</f>
        <v>0</v>
      </c>
    </row>
    <row r="15" spans="1:6" s="1069" customFormat="1" ht="12.75" customHeight="1">
      <c r="A15" s="1151"/>
      <c r="B15" s="1152"/>
      <c r="C15" s="1153"/>
      <c r="D15" s="1154"/>
      <c r="E15" s="1071"/>
      <c r="F15" s="1072">
        <f aca="true" t="shared" si="0" ref="F15:F78">+E15*C15</f>
        <v>0</v>
      </c>
    </row>
    <row r="16" spans="1:6" s="1069" customFormat="1" ht="12.75" customHeight="1">
      <c r="A16" s="1032">
        <v>2</v>
      </c>
      <c r="B16" s="1155" t="s">
        <v>726</v>
      </c>
      <c r="C16" s="1149"/>
      <c r="D16" s="1150"/>
      <c r="E16" s="1071"/>
      <c r="F16" s="1072">
        <f t="shared" si="0"/>
        <v>0</v>
      </c>
    </row>
    <row r="17" spans="1:6" s="1069" customFormat="1" ht="12.75" customHeight="1">
      <c r="A17" s="1033">
        <v>2.1</v>
      </c>
      <c r="B17" s="1156" t="s">
        <v>681</v>
      </c>
      <c r="C17" s="1149">
        <v>427.88</v>
      </c>
      <c r="D17" s="1150" t="s">
        <v>20</v>
      </c>
      <c r="E17" s="1071"/>
      <c r="F17" s="1072">
        <f t="shared" si="0"/>
        <v>0</v>
      </c>
    </row>
    <row r="18" spans="1:6" s="1069" customFormat="1" ht="12.75" customHeight="1">
      <c r="A18" s="1033">
        <v>2.2</v>
      </c>
      <c r="B18" s="1156" t="s">
        <v>682</v>
      </c>
      <c r="C18" s="1149">
        <v>171.15</v>
      </c>
      <c r="D18" s="1150" t="s">
        <v>644</v>
      </c>
      <c r="E18" s="1071"/>
      <c r="F18" s="1072">
        <f t="shared" si="0"/>
        <v>0</v>
      </c>
    </row>
    <row r="19" spans="1:6" s="1069" customFormat="1" ht="12.75" customHeight="1">
      <c r="A19" s="1033">
        <v>2.3</v>
      </c>
      <c r="B19" s="1156" t="s">
        <v>683</v>
      </c>
      <c r="C19" s="1149">
        <v>11.55</v>
      </c>
      <c r="D19" s="1150" t="s">
        <v>645</v>
      </c>
      <c r="E19" s="1071"/>
      <c r="F19" s="1072">
        <f t="shared" si="0"/>
        <v>0</v>
      </c>
    </row>
    <row r="20" spans="1:6" s="1069" customFormat="1" ht="12.75" customHeight="1">
      <c r="A20" s="1151"/>
      <c r="B20" s="1152"/>
      <c r="C20" s="1153"/>
      <c r="D20" s="1154"/>
      <c r="E20" s="1071"/>
      <c r="F20" s="1072">
        <f t="shared" si="0"/>
        <v>0</v>
      </c>
    </row>
    <row r="21" spans="1:6" s="1069" customFormat="1" ht="12.75" customHeight="1">
      <c r="A21" s="1157">
        <v>3</v>
      </c>
      <c r="B21" s="1158" t="s">
        <v>647</v>
      </c>
      <c r="C21" s="1149"/>
      <c r="D21" s="1150"/>
      <c r="E21" s="1071"/>
      <c r="F21" s="1072">
        <f t="shared" si="0"/>
        <v>0</v>
      </c>
    </row>
    <row r="22" spans="1:6" s="1069" customFormat="1" ht="12.75" customHeight="1">
      <c r="A22" s="1157">
        <v>3.1</v>
      </c>
      <c r="B22" s="1158" t="s">
        <v>679</v>
      </c>
      <c r="C22" s="1149"/>
      <c r="D22" s="1150"/>
      <c r="E22" s="1071"/>
      <c r="F22" s="1072">
        <f t="shared" si="0"/>
        <v>0</v>
      </c>
    </row>
    <row r="23" spans="1:6" s="1069" customFormat="1" ht="12.75" customHeight="1">
      <c r="A23" s="1159" t="s">
        <v>648</v>
      </c>
      <c r="B23" s="1160" t="s">
        <v>684</v>
      </c>
      <c r="C23" s="1149">
        <v>1126.53</v>
      </c>
      <c r="D23" s="1150" t="s">
        <v>867</v>
      </c>
      <c r="E23" s="1071"/>
      <c r="F23" s="1072">
        <f t="shared" si="0"/>
        <v>0</v>
      </c>
    </row>
    <row r="24" spans="1:6" s="1069" customFormat="1" ht="12.75" customHeight="1">
      <c r="A24" s="1159" t="s">
        <v>649</v>
      </c>
      <c r="B24" s="1160" t="s">
        <v>685</v>
      </c>
      <c r="C24" s="1149">
        <v>482.8</v>
      </c>
      <c r="D24" s="1150" t="s">
        <v>867</v>
      </c>
      <c r="E24" s="1071"/>
      <c r="F24" s="1072">
        <f t="shared" si="0"/>
        <v>0</v>
      </c>
    </row>
    <row r="25" spans="1:6" s="1069" customFormat="1" ht="12.75" customHeight="1">
      <c r="A25" s="1159" t="s">
        <v>650</v>
      </c>
      <c r="B25" s="1156" t="s">
        <v>686</v>
      </c>
      <c r="C25" s="1149">
        <v>1313.74</v>
      </c>
      <c r="D25" s="1150" t="s">
        <v>644</v>
      </c>
      <c r="E25" s="1071"/>
      <c r="F25" s="1072">
        <f t="shared" si="0"/>
        <v>0</v>
      </c>
    </row>
    <row r="26" spans="1:6" s="1069" customFormat="1" ht="12.75" customHeight="1">
      <c r="A26" s="1159" t="s">
        <v>651</v>
      </c>
      <c r="B26" s="1160" t="s">
        <v>687</v>
      </c>
      <c r="C26" s="1149">
        <v>131.37</v>
      </c>
      <c r="D26" s="1150" t="s">
        <v>645</v>
      </c>
      <c r="E26" s="1071"/>
      <c r="F26" s="1072">
        <f t="shared" si="0"/>
        <v>0</v>
      </c>
    </row>
    <row r="27" spans="1:6" s="1069" customFormat="1" ht="28.5">
      <c r="A27" s="1159" t="s">
        <v>652</v>
      </c>
      <c r="B27" s="1160" t="s">
        <v>889</v>
      </c>
      <c r="C27" s="1149">
        <v>579.36</v>
      </c>
      <c r="D27" s="1150" t="s">
        <v>645</v>
      </c>
      <c r="E27" s="1071"/>
      <c r="F27" s="1072">
        <f t="shared" si="0"/>
        <v>0</v>
      </c>
    </row>
    <row r="28" spans="1:6" s="1069" customFormat="1" ht="28.5">
      <c r="A28" s="1159" t="s">
        <v>653</v>
      </c>
      <c r="B28" s="1160" t="s">
        <v>688</v>
      </c>
      <c r="C28" s="1149">
        <v>1344.78</v>
      </c>
      <c r="D28" s="1150" t="s">
        <v>798</v>
      </c>
      <c r="E28" s="1071"/>
      <c r="F28" s="1072">
        <f t="shared" si="0"/>
        <v>0</v>
      </c>
    </row>
    <row r="29" spans="1:6" s="1069" customFormat="1" ht="28.5">
      <c r="A29" s="1159" t="s">
        <v>654</v>
      </c>
      <c r="B29" s="1160" t="s">
        <v>896</v>
      </c>
      <c r="C29" s="1149">
        <v>945.1</v>
      </c>
      <c r="D29" s="1150" t="s">
        <v>865</v>
      </c>
      <c r="E29" s="1071"/>
      <c r="F29" s="1072">
        <f t="shared" si="0"/>
        <v>0</v>
      </c>
    </row>
    <row r="30" spans="1:6" s="1069" customFormat="1" ht="12.75" customHeight="1">
      <c r="A30" s="1161"/>
      <c r="B30" s="1152"/>
      <c r="C30" s="1153"/>
      <c r="D30" s="1162"/>
      <c r="E30" s="1071"/>
      <c r="F30" s="1072">
        <f t="shared" si="0"/>
        <v>0</v>
      </c>
    </row>
    <row r="31" spans="1:6" s="1069" customFormat="1" ht="12.75" customHeight="1">
      <c r="A31" s="1157">
        <v>4</v>
      </c>
      <c r="B31" s="1158" t="s">
        <v>672</v>
      </c>
      <c r="C31" s="1149"/>
      <c r="D31" s="1150"/>
      <c r="E31" s="1071"/>
      <c r="F31" s="1072">
        <f t="shared" si="0"/>
        <v>0</v>
      </c>
    </row>
    <row r="32" spans="1:6" s="1069" customFormat="1" ht="12.75" customHeight="1">
      <c r="A32" s="1147">
        <v>4.1</v>
      </c>
      <c r="B32" s="1163" t="s">
        <v>727</v>
      </c>
      <c r="C32" s="1149">
        <v>1691.44</v>
      </c>
      <c r="D32" s="1150" t="s">
        <v>20</v>
      </c>
      <c r="E32" s="1071"/>
      <c r="F32" s="1072">
        <f t="shared" si="0"/>
        <v>0</v>
      </c>
    </row>
    <row r="33" spans="1:6" s="1069" customFormat="1" ht="12.75" customHeight="1">
      <c r="A33" s="1157"/>
      <c r="B33" s="1164"/>
      <c r="C33" s="1149"/>
      <c r="D33" s="1150"/>
      <c r="E33" s="1071"/>
      <c r="F33" s="1072">
        <f t="shared" si="0"/>
        <v>0</v>
      </c>
    </row>
    <row r="34" spans="1:6" s="1069" customFormat="1" ht="12.75" customHeight="1">
      <c r="A34" s="1157">
        <v>5</v>
      </c>
      <c r="B34" s="1158" t="s">
        <v>660</v>
      </c>
      <c r="C34" s="1149"/>
      <c r="D34" s="1150"/>
      <c r="E34" s="1071"/>
      <c r="F34" s="1072">
        <f t="shared" si="0"/>
        <v>0</v>
      </c>
    </row>
    <row r="35" spans="1:6" s="1069" customFormat="1" ht="12.75" customHeight="1">
      <c r="A35" s="1147">
        <v>5.1</v>
      </c>
      <c r="B35" s="1148" t="s">
        <v>728</v>
      </c>
      <c r="C35" s="1149">
        <v>1642.17</v>
      </c>
      <c r="D35" s="1150" t="s">
        <v>20</v>
      </c>
      <c r="E35" s="1071"/>
      <c r="F35" s="1072">
        <f t="shared" si="0"/>
        <v>0</v>
      </c>
    </row>
    <row r="36" spans="1:6" s="1069" customFormat="1" ht="12.75" customHeight="1">
      <c r="A36" s="1165"/>
      <c r="B36" s="1164"/>
      <c r="C36" s="1149"/>
      <c r="D36" s="1166"/>
      <c r="E36" s="1071"/>
      <c r="F36" s="1072">
        <f t="shared" si="0"/>
        <v>0</v>
      </c>
    </row>
    <row r="37" spans="1:6" s="1069" customFormat="1" ht="12.75" customHeight="1">
      <c r="A37" s="1167">
        <v>6</v>
      </c>
      <c r="B37" s="1158" t="s">
        <v>655</v>
      </c>
      <c r="C37" s="1149"/>
      <c r="D37" s="1166"/>
      <c r="E37" s="1071"/>
      <c r="F37" s="1072">
        <f t="shared" si="0"/>
        <v>0</v>
      </c>
    </row>
    <row r="38" spans="1:6" s="1069" customFormat="1" ht="12.75" customHeight="1">
      <c r="A38" s="1159">
        <v>6.1</v>
      </c>
      <c r="B38" s="1148" t="s">
        <v>728</v>
      </c>
      <c r="C38" s="1149">
        <v>1642.17</v>
      </c>
      <c r="D38" s="1150" t="s">
        <v>20</v>
      </c>
      <c r="E38" s="1071"/>
      <c r="F38" s="1072">
        <f t="shared" si="0"/>
        <v>0</v>
      </c>
    </row>
    <row r="39" spans="1:6" s="1069" customFormat="1" ht="12.75" customHeight="1">
      <c r="A39" s="1167"/>
      <c r="B39" s="1164"/>
      <c r="C39" s="1149"/>
      <c r="D39" s="1166"/>
      <c r="E39" s="1071"/>
      <c r="F39" s="1072">
        <f t="shared" si="0"/>
        <v>0</v>
      </c>
    </row>
    <row r="40" spans="1:6" s="1074" customFormat="1" ht="25.5">
      <c r="A40" s="1157">
        <v>7</v>
      </c>
      <c r="B40" s="1158" t="s">
        <v>671</v>
      </c>
      <c r="C40" s="1149"/>
      <c r="D40" s="1166"/>
      <c r="E40" s="1071"/>
      <c r="F40" s="1072">
        <f t="shared" si="0"/>
        <v>0</v>
      </c>
    </row>
    <row r="41" spans="1:6" s="1074" customFormat="1" ht="12.75" customHeight="1">
      <c r="A41" s="1147">
        <v>7.1</v>
      </c>
      <c r="B41" s="1168" t="s">
        <v>689</v>
      </c>
      <c r="C41" s="1149">
        <v>2</v>
      </c>
      <c r="D41" s="1166" t="s">
        <v>714</v>
      </c>
      <c r="E41" s="1071"/>
      <c r="F41" s="1072">
        <f t="shared" si="0"/>
        <v>0</v>
      </c>
    </row>
    <row r="42" spans="1:6" s="1074" customFormat="1" ht="12.75" customHeight="1">
      <c r="A42" s="1147">
        <v>7.2</v>
      </c>
      <c r="B42" s="1168" t="s">
        <v>691</v>
      </c>
      <c r="C42" s="1149">
        <v>1</v>
      </c>
      <c r="D42" s="1166" t="s">
        <v>714</v>
      </c>
      <c r="E42" s="1071"/>
      <c r="F42" s="1072">
        <f t="shared" si="0"/>
        <v>0</v>
      </c>
    </row>
    <row r="43" spans="1:6" s="1074" customFormat="1" ht="12.75" customHeight="1">
      <c r="A43" s="1147">
        <v>7.3</v>
      </c>
      <c r="B43" s="1168" t="s">
        <v>692</v>
      </c>
      <c r="C43" s="1149">
        <v>1</v>
      </c>
      <c r="D43" s="1166" t="s">
        <v>714</v>
      </c>
      <c r="E43" s="1071"/>
      <c r="F43" s="1072">
        <f t="shared" si="0"/>
        <v>0</v>
      </c>
    </row>
    <row r="44" spans="1:6" s="1074" customFormat="1" ht="12.75" customHeight="1">
      <c r="A44" s="1161">
        <v>7.4</v>
      </c>
      <c r="B44" s="1168" t="s">
        <v>693</v>
      </c>
      <c r="C44" s="1149">
        <v>5</v>
      </c>
      <c r="D44" s="1166" t="s">
        <v>714</v>
      </c>
      <c r="E44" s="1071"/>
      <c r="F44" s="1072">
        <f t="shared" si="0"/>
        <v>0</v>
      </c>
    </row>
    <row r="45" spans="1:6" s="1074" customFormat="1" ht="12.75" customHeight="1">
      <c r="A45" s="1161">
        <v>7.5</v>
      </c>
      <c r="B45" s="1168" t="s">
        <v>694</v>
      </c>
      <c r="C45" s="1149">
        <v>1</v>
      </c>
      <c r="D45" s="1166" t="s">
        <v>714</v>
      </c>
      <c r="E45" s="1071"/>
      <c r="F45" s="1072">
        <f t="shared" si="0"/>
        <v>0</v>
      </c>
    </row>
    <row r="46" spans="1:6" s="1074" customFormat="1" ht="12.75" customHeight="1">
      <c r="A46" s="1161">
        <v>7.6</v>
      </c>
      <c r="B46" s="1168" t="s">
        <v>690</v>
      </c>
      <c r="C46" s="1149">
        <v>10</v>
      </c>
      <c r="D46" s="1166" t="s">
        <v>714</v>
      </c>
      <c r="E46" s="1071"/>
      <c r="F46" s="1072">
        <f t="shared" si="0"/>
        <v>0</v>
      </c>
    </row>
    <row r="47" spans="1:6" s="1069" customFormat="1" ht="12.75" customHeight="1">
      <c r="A47" s="1161"/>
      <c r="B47" s="1169"/>
      <c r="C47" s="1153"/>
      <c r="D47" s="1154"/>
      <c r="E47" s="1071"/>
      <c r="F47" s="1072">
        <f t="shared" si="0"/>
        <v>0</v>
      </c>
    </row>
    <row r="48" spans="1:6" s="1074" customFormat="1" ht="12.75" customHeight="1">
      <c r="A48" s="1157">
        <v>8</v>
      </c>
      <c r="B48" s="1155" t="s">
        <v>620</v>
      </c>
      <c r="C48" s="1149"/>
      <c r="D48" s="1166"/>
      <c r="E48" s="1071"/>
      <c r="F48" s="1072">
        <f t="shared" si="0"/>
        <v>0</v>
      </c>
    </row>
    <row r="49" spans="1:6" s="1074" customFormat="1" ht="12.75" customHeight="1">
      <c r="A49" s="1159">
        <v>8.1</v>
      </c>
      <c r="B49" s="1170" t="s">
        <v>729</v>
      </c>
      <c r="C49" s="1149">
        <v>19</v>
      </c>
      <c r="D49" s="1166" t="s">
        <v>714</v>
      </c>
      <c r="E49" s="1071"/>
      <c r="F49" s="1072">
        <f t="shared" si="0"/>
        <v>0</v>
      </c>
    </row>
    <row r="50" spans="1:6" s="1074" customFormat="1" ht="12.75" customHeight="1">
      <c r="A50" s="1159">
        <v>8.2</v>
      </c>
      <c r="B50" s="1170" t="s">
        <v>730</v>
      </c>
      <c r="C50" s="1149">
        <v>1</v>
      </c>
      <c r="D50" s="1166" t="s">
        <v>714</v>
      </c>
      <c r="E50" s="1071"/>
      <c r="F50" s="1072">
        <f t="shared" si="0"/>
        <v>0</v>
      </c>
    </row>
    <row r="51" spans="1:6" s="1074" customFormat="1" ht="12.75" customHeight="1">
      <c r="A51" s="1159"/>
      <c r="B51" s="1164"/>
      <c r="C51" s="1149"/>
      <c r="D51" s="1166"/>
      <c r="E51" s="1071"/>
      <c r="F51" s="1072">
        <f t="shared" si="0"/>
        <v>0</v>
      </c>
    </row>
    <row r="52" spans="1:6" s="1074" customFormat="1" ht="12.75" customHeight="1">
      <c r="A52" s="1167">
        <v>9</v>
      </c>
      <c r="B52" s="1158" t="s">
        <v>656</v>
      </c>
      <c r="C52" s="1149"/>
      <c r="D52" s="1166"/>
      <c r="E52" s="1071"/>
      <c r="F52" s="1072">
        <f t="shared" si="0"/>
        <v>0</v>
      </c>
    </row>
    <row r="53" spans="1:6" s="1074" customFormat="1" ht="14.25">
      <c r="A53" s="1159">
        <v>9.1</v>
      </c>
      <c r="B53" s="1170" t="s">
        <v>743</v>
      </c>
      <c r="C53" s="1149">
        <v>10</v>
      </c>
      <c r="D53" s="1166" t="s">
        <v>20</v>
      </c>
      <c r="E53" s="1071"/>
      <c r="F53" s="1072">
        <f t="shared" si="0"/>
        <v>0</v>
      </c>
    </row>
    <row r="54" spans="1:6" s="1074" customFormat="1" ht="12.75" customHeight="1">
      <c r="A54" s="1159">
        <v>9.2</v>
      </c>
      <c r="B54" s="1170" t="s">
        <v>695</v>
      </c>
      <c r="C54" s="1149">
        <v>2</v>
      </c>
      <c r="D54" s="1166" t="s">
        <v>714</v>
      </c>
      <c r="E54" s="1071"/>
      <c r="F54" s="1072">
        <f t="shared" si="0"/>
        <v>0</v>
      </c>
    </row>
    <row r="55" spans="1:6" s="1074" customFormat="1" ht="12.75" customHeight="1">
      <c r="A55" s="1159">
        <v>9.3</v>
      </c>
      <c r="B55" s="1170" t="s">
        <v>696</v>
      </c>
      <c r="C55" s="1149">
        <v>0.51</v>
      </c>
      <c r="D55" s="1150" t="s">
        <v>645</v>
      </c>
      <c r="E55" s="1071"/>
      <c r="F55" s="1072">
        <f t="shared" si="0"/>
        <v>0</v>
      </c>
    </row>
    <row r="56" spans="1:6" s="1074" customFormat="1" ht="12.75" customHeight="1">
      <c r="A56" s="1159">
        <v>9.4</v>
      </c>
      <c r="B56" s="1170" t="s">
        <v>697</v>
      </c>
      <c r="C56" s="1149">
        <v>1</v>
      </c>
      <c r="D56" s="1166" t="s">
        <v>714</v>
      </c>
      <c r="E56" s="1071"/>
      <c r="F56" s="1072">
        <f t="shared" si="0"/>
        <v>0</v>
      </c>
    </row>
    <row r="57" spans="1:6" s="1074" customFormat="1" ht="12.75" customHeight="1">
      <c r="A57" s="1159"/>
      <c r="B57" s="1164"/>
      <c r="C57" s="1149"/>
      <c r="D57" s="1166"/>
      <c r="E57" s="1070"/>
      <c r="F57" s="1072">
        <f t="shared" si="0"/>
        <v>0</v>
      </c>
    </row>
    <row r="58" spans="1:6" s="1074" customFormat="1" ht="28.5">
      <c r="A58" s="1171">
        <v>10</v>
      </c>
      <c r="B58" s="1172" t="s">
        <v>698</v>
      </c>
      <c r="C58" s="1173">
        <v>1642.17</v>
      </c>
      <c r="D58" s="1174" t="s">
        <v>20</v>
      </c>
      <c r="E58" s="1075"/>
      <c r="F58" s="1072">
        <f t="shared" si="0"/>
        <v>0</v>
      </c>
    </row>
    <row r="59" spans="1:6" s="1074" customFormat="1" ht="57">
      <c r="A59" s="1159">
        <v>11</v>
      </c>
      <c r="B59" s="1160" t="s">
        <v>897</v>
      </c>
      <c r="C59" s="1149">
        <v>1642.17</v>
      </c>
      <c r="D59" s="1166" t="s">
        <v>20</v>
      </c>
      <c r="E59" s="1070"/>
      <c r="F59" s="1072">
        <f t="shared" si="0"/>
        <v>0</v>
      </c>
    </row>
    <row r="60" spans="1:6" s="1074" customFormat="1" ht="12.75" customHeight="1">
      <c r="A60" s="1175"/>
      <c r="B60" s="1152"/>
      <c r="C60" s="1153"/>
      <c r="D60" s="1154"/>
      <c r="E60" s="1070"/>
      <c r="F60" s="1072">
        <f t="shared" si="0"/>
        <v>0</v>
      </c>
    </row>
    <row r="61" spans="1:6" s="1074" customFormat="1" ht="12.75" customHeight="1">
      <c r="A61" s="1176">
        <v>12</v>
      </c>
      <c r="B61" s="1177" t="s">
        <v>631</v>
      </c>
      <c r="C61" s="1178"/>
      <c r="D61" s="1150"/>
      <c r="E61" s="1070"/>
      <c r="F61" s="1072">
        <f t="shared" si="0"/>
        <v>0</v>
      </c>
    </row>
    <row r="62" spans="1:6" s="1074" customFormat="1" ht="28.5">
      <c r="A62" s="1179">
        <v>12.1</v>
      </c>
      <c r="B62" s="1160" t="s">
        <v>830</v>
      </c>
      <c r="C62" s="1149">
        <v>41.08</v>
      </c>
      <c r="D62" s="1150" t="s">
        <v>645</v>
      </c>
      <c r="E62" s="1070"/>
      <c r="F62" s="1072">
        <f t="shared" si="0"/>
        <v>0</v>
      </c>
    </row>
    <row r="63" spans="1:6" s="1074" customFormat="1" ht="28.5">
      <c r="A63" s="1159">
        <v>12.2</v>
      </c>
      <c r="B63" s="1160" t="s">
        <v>700</v>
      </c>
      <c r="C63" s="1149">
        <v>39.03</v>
      </c>
      <c r="D63" s="1150" t="s">
        <v>645</v>
      </c>
      <c r="E63" s="1070"/>
      <c r="F63" s="1072">
        <f t="shared" si="0"/>
        <v>0</v>
      </c>
    </row>
    <row r="64" spans="1:6" s="1074" customFormat="1" ht="14.25">
      <c r="A64" s="1179">
        <v>12.3</v>
      </c>
      <c r="B64" s="1160" t="s">
        <v>898</v>
      </c>
      <c r="C64" s="1149">
        <v>171.15</v>
      </c>
      <c r="D64" s="1150" t="s">
        <v>644</v>
      </c>
      <c r="E64" s="1070"/>
      <c r="F64" s="1072">
        <f t="shared" si="0"/>
        <v>0</v>
      </c>
    </row>
    <row r="65" spans="1:6" s="1074" customFormat="1" ht="14.25">
      <c r="A65" s="1159">
        <v>12.4</v>
      </c>
      <c r="B65" s="1160" t="s">
        <v>701</v>
      </c>
      <c r="C65" s="1149">
        <v>171.15</v>
      </c>
      <c r="D65" s="1150" t="s">
        <v>644</v>
      </c>
      <c r="E65" s="1070"/>
      <c r="F65" s="1072">
        <f t="shared" si="0"/>
        <v>0</v>
      </c>
    </row>
    <row r="66" spans="1:6" s="1074" customFormat="1" ht="14.25">
      <c r="A66" s="1179">
        <v>12.5</v>
      </c>
      <c r="B66" s="1160" t="s">
        <v>828</v>
      </c>
      <c r="C66" s="1149">
        <v>393.54</v>
      </c>
      <c r="D66" s="1150" t="s">
        <v>646</v>
      </c>
      <c r="E66" s="1070"/>
      <c r="F66" s="1072">
        <f t="shared" si="0"/>
        <v>0</v>
      </c>
    </row>
    <row r="67" spans="1:6" s="1074" customFormat="1" ht="14.25">
      <c r="A67" s="1180"/>
      <c r="B67" s="1181"/>
      <c r="C67" s="1182"/>
      <c r="D67" s="1162"/>
      <c r="E67" s="1070"/>
      <c r="F67" s="1072">
        <f t="shared" si="0"/>
        <v>0</v>
      </c>
    </row>
    <row r="68" spans="1:6" s="1074" customFormat="1" ht="28.5">
      <c r="A68" s="1183">
        <v>13</v>
      </c>
      <c r="B68" s="1163" t="s">
        <v>706</v>
      </c>
      <c r="C68" s="1184">
        <v>1642.17</v>
      </c>
      <c r="D68" s="1150" t="s">
        <v>20</v>
      </c>
      <c r="E68" s="1070"/>
      <c r="F68" s="1072">
        <f t="shared" si="0"/>
        <v>0</v>
      </c>
    </row>
    <row r="69" spans="1:6" s="1069" customFormat="1" ht="12.75" customHeight="1">
      <c r="A69" s="1185"/>
      <c r="B69" s="1186" t="s">
        <v>624</v>
      </c>
      <c r="C69" s="1187"/>
      <c r="D69" s="1188"/>
      <c r="E69" s="1076"/>
      <c r="F69" s="1077">
        <f>SUM(F14:F68)</f>
        <v>0</v>
      </c>
    </row>
    <row r="70" spans="1:6" s="1069" customFormat="1" ht="12.75" customHeight="1">
      <c r="A70" s="1189"/>
      <c r="B70" s="1152"/>
      <c r="C70" s="1182"/>
      <c r="D70" s="1154"/>
      <c r="E70" s="1071"/>
      <c r="F70" s="1072"/>
    </row>
    <row r="71" spans="1:6" s="1069" customFormat="1" ht="51">
      <c r="A71" s="1190" t="s">
        <v>623</v>
      </c>
      <c r="B71" s="1158" t="s">
        <v>900</v>
      </c>
      <c r="C71" s="1184"/>
      <c r="D71" s="1166"/>
      <c r="E71" s="1071"/>
      <c r="F71" s="1072">
        <f t="shared" si="0"/>
        <v>0</v>
      </c>
    </row>
    <row r="72" spans="1:6" s="1069" customFormat="1" ht="12.75" customHeight="1">
      <c r="A72" s="1190"/>
      <c r="B72" s="1164"/>
      <c r="C72" s="1184"/>
      <c r="D72" s="1166"/>
      <c r="E72" s="1071"/>
      <c r="F72" s="1072">
        <f t="shared" si="0"/>
        <v>0</v>
      </c>
    </row>
    <row r="73" spans="1:6" s="1069" customFormat="1" ht="12.75" customHeight="1">
      <c r="A73" s="1191">
        <v>1</v>
      </c>
      <c r="B73" s="1148" t="s">
        <v>680</v>
      </c>
      <c r="C73" s="1184">
        <v>2928.35</v>
      </c>
      <c r="D73" s="1150" t="s">
        <v>20</v>
      </c>
      <c r="E73" s="1071"/>
      <c r="F73" s="1072">
        <f t="shared" si="0"/>
        <v>0</v>
      </c>
    </row>
    <row r="74" spans="1:6" s="1069" customFormat="1" ht="12.75" customHeight="1">
      <c r="A74" s="1190"/>
      <c r="B74" s="1164"/>
      <c r="C74" s="1184"/>
      <c r="D74" s="1166"/>
      <c r="E74" s="1071"/>
      <c r="F74" s="1072">
        <f t="shared" si="0"/>
        <v>0</v>
      </c>
    </row>
    <row r="75" spans="1:6" s="1046" customFormat="1" ht="12.75" customHeight="1">
      <c r="A75" s="1030">
        <v>2</v>
      </c>
      <c r="B75" s="1155" t="s">
        <v>657</v>
      </c>
      <c r="C75" s="1184"/>
      <c r="D75" s="1150"/>
      <c r="E75" s="1071"/>
      <c r="F75" s="1072">
        <f t="shared" si="0"/>
        <v>0</v>
      </c>
    </row>
    <row r="76" spans="1:6" s="1046" customFormat="1" ht="12.75" customHeight="1">
      <c r="A76" s="1029">
        <v>2.1</v>
      </c>
      <c r="B76" s="1156" t="s">
        <v>681</v>
      </c>
      <c r="C76" s="1184">
        <v>4853.32</v>
      </c>
      <c r="D76" s="1150" t="s">
        <v>20</v>
      </c>
      <c r="E76" s="1071"/>
      <c r="F76" s="1072">
        <f t="shared" si="0"/>
        <v>0</v>
      </c>
    </row>
    <row r="77" spans="1:6" s="1046" customFormat="1" ht="12.75" customHeight="1">
      <c r="A77" s="1029">
        <v>2.2</v>
      </c>
      <c r="B77" s="1156" t="s">
        <v>682</v>
      </c>
      <c r="C77" s="1184">
        <v>1820</v>
      </c>
      <c r="D77" s="1150" t="s">
        <v>644</v>
      </c>
      <c r="E77" s="1071"/>
      <c r="F77" s="1072">
        <f t="shared" si="0"/>
        <v>0</v>
      </c>
    </row>
    <row r="78" spans="1:6" s="1046" customFormat="1" ht="12.75" customHeight="1">
      <c r="A78" s="1029">
        <v>2.3</v>
      </c>
      <c r="B78" s="1156" t="s">
        <v>683</v>
      </c>
      <c r="C78" s="1184">
        <v>122.85</v>
      </c>
      <c r="D78" s="1150" t="s">
        <v>645</v>
      </c>
      <c r="E78" s="1071"/>
      <c r="F78" s="1072">
        <f t="shared" si="0"/>
        <v>0</v>
      </c>
    </row>
    <row r="79" spans="1:6" s="1046" customFormat="1" ht="12.75" customHeight="1">
      <c r="A79" s="1190"/>
      <c r="B79" s="1164"/>
      <c r="C79" s="1184"/>
      <c r="D79" s="1166"/>
      <c r="E79" s="1071"/>
      <c r="F79" s="1072">
        <f aca="true" t="shared" si="1" ref="F79:F142">+E79*C79</f>
        <v>0</v>
      </c>
    </row>
    <row r="80" spans="1:6" s="1069" customFormat="1" ht="12.75" customHeight="1">
      <c r="A80" s="1192">
        <v>3</v>
      </c>
      <c r="B80" s="1158" t="s">
        <v>12</v>
      </c>
      <c r="C80" s="1184"/>
      <c r="D80" s="1150"/>
      <c r="E80" s="1071"/>
      <c r="F80" s="1072">
        <f t="shared" si="1"/>
        <v>0</v>
      </c>
    </row>
    <row r="81" spans="1:6" s="1069" customFormat="1" ht="12.75" customHeight="1">
      <c r="A81" s="1192">
        <v>3.1</v>
      </c>
      <c r="B81" s="1158" t="s">
        <v>658</v>
      </c>
      <c r="C81" s="1184"/>
      <c r="D81" s="1150"/>
      <c r="E81" s="1071"/>
      <c r="F81" s="1072">
        <f t="shared" si="1"/>
        <v>0</v>
      </c>
    </row>
    <row r="82" spans="1:6" s="1069" customFormat="1" ht="12.75" customHeight="1">
      <c r="A82" s="1193" t="s">
        <v>648</v>
      </c>
      <c r="B82" s="1160" t="s">
        <v>684</v>
      </c>
      <c r="C82" s="1184">
        <v>1813.89</v>
      </c>
      <c r="D82" s="1150" t="s">
        <v>867</v>
      </c>
      <c r="E82" s="1071"/>
      <c r="F82" s="1072">
        <f t="shared" si="1"/>
        <v>0</v>
      </c>
    </row>
    <row r="83" spans="1:6" s="1069" customFormat="1" ht="12.75" customHeight="1">
      <c r="A83" s="1193" t="s">
        <v>649</v>
      </c>
      <c r="B83" s="1160" t="s">
        <v>685</v>
      </c>
      <c r="C83" s="1184">
        <v>777.38</v>
      </c>
      <c r="D83" s="1150" t="s">
        <v>867</v>
      </c>
      <c r="E83" s="1071"/>
      <c r="F83" s="1072">
        <f t="shared" si="1"/>
        <v>0</v>
      </c>
    </row>
    <row r="84" spans="1:6" s="1069" customFormat="1" ht="12.75" customHeight="1">
      <c r="A84" s="1193" t="s">
        <v>650</v>
      </c>
      <c r="B84" s="1156" t="s">
        <v>686</v>
      </c>
      <c r="C84" s="1184">
        <v>2203.43</v>
      </c>
      <c r="D84" s="1150" t="s">
        <v>644</v>
      </c>
      <c r="E84" s="1071"/>
      <c r="F84" s="1072">
        <f t="shared" si="1"/>
        <v>0</v>
      </c>
    </row>
    <row r="85" spans="1:6" s="1069" customFormat="1" ht="12.75" customHeight="1">
      <c r="A85" s="1193" t="s">
        <v>651</v>
      </c>
      <c r="B85" s="1160" t="s">
        <v>687</v>
      </c>
      <c r="C85" s="1184">
        <v>234.27</v>
      </c>
      <c r="D85" s="1150" t="s">
        <v>645</v>
      </c>
      <c r="E85" s="1071"/>
      <c r="F85" s="1072">
        <f t="shared" si="1"/>
        <v>0</v>
      </c>
    </row>
    <row r="86" spans="1:6" s="1069" customFormat="1" ht="28.5">
      <c r="A86" s="1194" t="s">
        <v>652</v>
      </c>
      <c r="B86" s="1195" t="s">
        <v>889</v>
      </c>
      <c r="C86" s="1196">
        <v>932.86</v>
      </c>
      <c r="D86" s="1197" t="s">
        <v>831</v>
      </c>
      <c r="E86" s="1071"/>
      <c r="F86" s="1072">
        <f t="shared" si="1"/>
        <v>0</v>
      </c>
    </row>
    <row r="87" spans="1:6" s="1069" customFormat="1" ht="28.5">
      <c r="A87" s="1194" t="s">
        <v>653</v>
      </c>
      <c r="B87" s="1195" t="s">
        <v>688</v>
      </c>
      <c r="C87" s="1196">
        <v>2173.13</v>
      </c>
      <c r="D87" s="1197" t="s">
        <v>832</v>
      </c>
      <c r="E87" s="1071"/>
      <c r="F87" s="1072">
        <f t="shared" si="1"/>
        <v>0</v>
      </c>
    </row>
    <row r="88" spans="1:6" s="1069" customFormat="1" ht="28.5">
      <c r="A88" s="1194" t="s">
        <v>654</v>
      </c>
      <c r="B88" s="1195" t="s">
        <v>896</v>
      </c>
      <c r="C88" s="1196">
        <v>1512.36</v>
      </c>
      <c r="D88" s="1197" t="s">
        <v>866</v>
      </c>
      <c r="E88" s="1071"/>
      <c r="F88" s="1072">
        <f t="shared" si="1"/>
        <v>0</v>
      </c>
    </row>
    <row r="89" spans="1:6" s="1069" customFormat="1" ht="12.75" customHeight="1">
      <c r="A89" s="1198"/>
      <c r="B89" s="1152"/>
      <c r="C89" s="1182"/>
      <c r="D89" s="1162"/>
      <c r="E89" s="1071"/>
      <c r="F89" s="1072">
        <f t="shared" si="1"/>
        <v>0</v>
      </c>
    </row>
    <row r="90" spans="1:6" s="1069" customFormat="1" ht="12.75" customHeight="1">
      <c r="A90" s="1157">
        <v>4</v>
      </c>
      <c r="B90" s="1158" t="s">
        <v>672</v>
      </c>
      <c r="C90" s="1149"/>
      <c r="D90" s="1150"/>
      <c r="E90" s="1071"/>
      <c r="F90" s="1072">
        <f t="shared" si="1"/>
        <v>0</v>
      </c>
    </row>
    <row r="91" spans="1:6" s="1069" customFormat="1" ht="12.75" customHeight="1">
      <c r="A91" s="1147">
        <v>4.1</v>
      </c>
      <c r="B91" s="1160" t="s">
        <v>727</v>
      </c>
      <c r="C91" s="1149">
        <v>147.56</v>
      </c>
      <c r="D91" s="1150" t="s">
        <v>20</v>
      </c>
      <c r="E91" s="1071"/>
      <c r="F91" s="1072">
        <f t="shared" si="1"/>
        <v>0</v>
      </c>
    </row>
    <row r="92" spans="1:6" s="1069" customFormat="1" ht="12.75" customHeight="1">
      <c r="A92" s="1147">
        <v>4.2</v>
      </c>
      <c r="B92" s="1160" t="s">
        <v>731</v>
      </c>
      <c r="C92" s="1149">
        <v>2868.64</v>
      </c>
      <c r="D92" s="1150" t="s">
        <v>20</v>
      </c>
      <c r="E92" s="1071"/>
      <c r="F92" s="1072">
        <f t="shared" si="1"/>
        <v>0</v>
      </c>
    </row>
    <row r="93" spans="1:6" s="1069" customFormat="1" ht="12.75" customHeight="1">
      <c r="A93" s="1199"/>
      <c r="B93" s="1152"/>
      <c r="C93" s="1153"/>
      <c r="D93" s="1162"/>
      <c r="E93" s="1071"/>
      <c r="F93" s="1072">
        <f t="shared" si="1"/>
        <v>0</v>
      </c>
    </row>
    <row r="94" spans="1:6" s="1069" customFormat="1" ht="12.75" customHeight="1">
      <c r="A94" s="1167">
        <v>5</v>
      </c>
      <c r="B94" s="1158" t="s">
        <v>660</v>
      </c>
      <c r="C94" s="1149"/>
      <c r="D94" s="1150"/>
      <c r="E94" s="1071"/>
      <c r="F94" s="1072">
        <f t="shared" si="1"/>
        <v>0</v>
      </c>
    </row>
    <row r="95" spans="1:6" s="1069" customFormat="1" ht="12.75" customHeight="1">
      <c r="A95" s="1147">
        <v>4.1</v>
      </c>
      <c r="B95" s="1148" t="s">
        <v>728</v>
      </c>
      <c r="C95" s="1149">
        <v>143.26</v>
      </c>
      <c r="D95" s="1150" t="s">
        <v>20</v>
      </c>
      <c r="E95" s="1071"/>
      <c r="F95" s="1072">
        <f t="shared" si="1"/>
        <v>0</v>
      </c>
    </row>
    <row r="96" spans="1:6" s="1069" customFormat="1" ht="12.75" customHeight="1">
      <c r="A96" s="1159">
        <v>4.2</v>
      </c>
      <c r="B96" s="1148" t="s">
        <v>732</v>
      </c>
      <c r="C96" s="1149">
        <v>2785.09</v>
      </c>
      <c r="D96" s="1150" t="s">
        <v>20</v>
      </c>
      <c r="E96" s="1071"/>
      <c r="F96" s="1072">
        <f t="shared" si="1"/>
        <v>0</v>
      </c>
    </row>
    <row r="97" spans="1:6" s="1069" customFormat="1" ht="12.75" customHeight="1">
      <c r="A97" s="1151"/>
      <c r="B97" s="1152"/>
      <c r="C97" s="1153"/>
      <c r="D97" s="1154"/>
      <c r="E97" s="1071"/>
      <c r="F97" s="1072">
        <f t="shared" si="1"/>
        <v>0</v>
      </c>
    </row>
    <row r="98" spans="1:6" s="1069" customFormat="1" ht="12.75" customHeight="1">
      <c r="A98" s="1157">
        <v>6</v>
      </c>
      <c r="B98" s="1158" t="s">
        <v>655</v>
      </c>
      <c r="C98" s="1149"/>
      <c r="D98" s="1166"/>
      <c r="E98" s="1071"/>
      <c r="F98" s="1072">
        <f t="shared" si="1"/>
        <v>0</v>
      </c>
    </row>
    <row r="99" spans="1:6" s="1069" customFormat="1" ht="12.75" customHeight="1">
      <c r="A99" s="1147">
        <v>6.1</v>
      </c>
      <c r="B99" s="1148" t="s">
        <v>728</v>
      </c>
      <c r="C99" s="1149">
        <v>143.26</v>
      </c>
      <c r="D99" s="1150" t="s">
        <v>20</v>
      </c>
      <c r="E99" s="1071"/>
      <c r="F99" s="1072">
        <f t="shared" si="1"/>
        <v>0</v>
      </c>
    </row>
    <row r="100" spans="1:6" s="1069" customFormat="1" ht="12.75" customHeight="1">
      <c r="A100" s="1200">
        <v>6.2</v>
      </c>
      <c r="B100" s="1201" t="s">
        <v>732</v>
      </c>
      <c r="C100" s="1173">
        <v>2785.09</v>
      </c>
      <c r="D100" s="1202" t="s">
        <v>20</v>
      </c>
      <c r="E100" s="1079"/>
      <c r="F100" s="1072">
        <f t="shared" si="1"/>
        <v>0</v>
      </c>
    </row>
    <row r="101" spans="1:6" s="1069" customFormat="1" ht="12.75" customHeight="1">
      <c r="A101" s="1203"/>
      <c r="B101" s="1152"/>
      <c r="C101" s="1153"/>
      <c r="D101" s="1154"/>
      <c r="E101" s="1071"/>
      <c r="F101" s="1072">
        <f t="shared" si="1"/>
        <v>0</v>
      </c>
    </row>
    <row r="102" spans="1:6" s="1074" customFormat="1" ht="25.5">
      <c r="A102" s="1157">
        <v>7</v>
      </c>
      <c r="B102" s="1158" t="s">
        <v>671</v>
      </c>
      <c r="C102" s="1149"/>
      <c r="D102" s="1166"/>
      <c r="E102" s="1071"/>
      <c r="F102" s="1072">
        <f t="shared" si="1"/>
        <v>0</v>
      </c>
    </row>
    <row r="103" spans="1:6" s="1074" customFormat="1" ht="12.75" customHeight="1">
      <c r="A103" s="1159">
        <v>7.1</v>
      </c>
      <c r="B103" s="1168" t="s">
        <v>702</v>
      </c>
      <c r="C103" s="1149">
        <v>1</v>
      </c>
      <c r="D103" s="1166" t="s">
        <v>714</v>
      </c>
      <c r="E103" s="1071"/>
      <c r="F103" s="1072">
        <f t="shared" si="1"/>
        <v>0</v>
      </c>
    </row>
    <row r="104" spans="1:6" s="1074" customFormat="1" ht="12.75" customHeight="1">
      <c r="A104" s="1204">
        <v>7.2</v>
      </c>
      <c r="B104" s="1205" t="s">
        <v>703</v>
      </c>
      <c r="C104" s="1206">
        <v>5</v>
      </c>
      <c r="D104" s="1207" t="s">
        <v>714</v>
      </c>
      <c r="E104" s="1071"/>
      <c r="F104" s="1072">
        <f t="shared" si="1"/>
        <v>0</v>
      </c>
    </row>
    <row r="105" spans="1:6" s="1074" customFormat="1" ht="12.75" customHeight="1">
      <c r="A105" s="1204">
        <v>7.3</v>
      </c>
      <c r="B105" s="1205" t="s">
        <v>704</v>
      </c>
      <c r="C105" s="1206">
        <v>7</v>
      </c>
      <c r="D105" s="1207" t="s">
        <v>714</v>
      </c>
      <c r="E105" s="1071"/>
      <c r="F105" s="1072">
        <f t="shared" si="1"/>
        <v>0</v>
      </c>
    </row>
    <row r="106" spans="1:6" s="1074" customFormat="1" ht="12.75" customHeight="1">
      <c r="A106" s="1204">
        <v>7.4</v>
      </c>
      <c r="B106" s="1205" t="s">
        <v>705</v>
      </c>
      <c r="C106" s="1206">
        <v>17</v>
      </c>
      <c r="D106" s="1207" t="s">
        <v>714</v>
      </c>
      <c r="E106" s="1071"/>
      <c r="F106" s="1072">
        <f t="shared" si="1"/>
        <v>0</v>
      </c>
    </row>
    <row r="107" spans="1:6" s="1074" customFormat="1" ht="12.75" customHeight="1">
      <c r="A107" s="1204">
        <v>7.5</v>
      </c>
      <c r="B107" s="1205" t="s">
        <v>833</v>
      </c>
      <c r="C107" s="1206">
        <v>1</v>
      </c>
      <c r="D107" s="1207" t="s">
        <v>714</v>
      </c>
      <c r="E107" s="1071"/>
      <c r="F107" s="1072">
        <f t="shared" si="1"/>
        <v>0</v>
      </c>
    </row>
    <row r="108" spans="1:6" s="1074" customFormat="1" ht="12.75" customHeight="1">
      <c r="A108" s="1204">
        <v>7.6</v>
      </c>
      <c r="B108" s="1205" t="s">
        <v>694</v>
      </c>
      <c r="C108" s="1206">
        <v>1</v>
      </c>
      <c r="D108" s="1207" t="s">
        <v>714</v>
      </c>
      <c r="E108" s="1071"/>
      <c r="F108" s="1072">
        <f t="shared" si="1"/>
        <v>0</v>
      </c>
    </row>
    <row r="109" spans="1:6" s="1074" customFormat="1" ht="12.75" customHeight="1">
      <c r="A109" s="1204">
        <v>7.7</v>
      </c>
      <c r="B109" s="1205" t="s">
        <v>857</v>
      </c>
      <c r="C109" s="1206">
        <v>2</v>
      </c>
      <c r="D109" s="1207" t="s">
        <v>714</v>
      </c>
      <c r="E109" s="1071"/>
      <c r="F109" s="1072">
        <f t="shared" si="1"/>
        <v>0</v>
      </c>
    </row>
    <row r="110" spans="1:6" s="1074" customFormat="1" ht="12.75" customHeight="1">
      <c r="A110" s="1208">
        <v>7.8</v>
      </c>
      <c r="B110" s="1205" t="s">
        <v>690</v>
      </c>
      <c r="C110" s="1206">
        <v>34</v>
      </c>
      <c r="D110" s="1207" t="s">
        <v>714</v>
      </c>
      <c r="E110" s="1071"/>
      <c r="F110" s="1072">
        <f t="shared" si="1"/>
        <v>0</v>
      </c>
    </row>
    <row r="111" spans="1:6" s="1069" customFormat="1" ht="12.75" customHeight="1">
      <c r="A111" s="1161"/>
      <c r="B111" s="1169"/>
      <c r="C111" s="1153"/>
      <c r="D111" s="1154"/>
      <c r="E111" s="1071"/>
      <c r="F111" s="1072">
        <f t="shared" si="1"/>
        <v>0</v>
      </c>
    </row>
    <row r="112" spans="1:6" s="1069" customFormat="1" ht="12.75" customHeight="1">
      <c r="A112" s="1157">
        <v>8</v>
      </c>
      <c r="B112" s="1155" t="s">
        <v>620</v>
      </c>
      <c r="C112" s="1149"/>
      <c r="D112" s="1166"/>
      <c r="E112" s="1071"/>
      <c r="F112" s="1072">
        <f t="shared" si="1"/>
        <v>0</v>
      </c>
    </row>
    <row r="113" spans="1:6" s="1074" customFormat="1" ht="12.75" customHeight="1">
      <c r="A113" s="1159">
        <v>8.1</v>
      </c>
      <c r="B113" s="1170" t="s">
        <v>729</v>
      </c>
      <c r="C113" s="1149">
        <v>3</v>
      </c>
      <c r="D113" s="1166" t="s">
        <v>714</v>
      </c>
      <c r="E113" s="1071"/>
      <c r="F113" s="1072">
        <f t="shared" si="1"/>
        <v>0</v>
      </c>
    </row>
    <row r="114" spans="1:6" s="1074" customFormat="1" ht="12.75" customHeight="1">
      <c r="A114" s="1175">
        <v>8.2</v>
      </c>
      <c r="B114" s="1209" t="s">
        <v>730</v>
      </c>
      <c r="C114" s="1210">
        <v>56</v>
      </c>
      <c r="D114" s="1207" t="s">
        <v>714</v>
      </c>
      <c r="E114" s="1071"/>
      <c r="F114" s="1072">
        <f t="shared" si="1"/>
        <v>0</v>
      </c>
    </row>
    <row r="115" spans="1:6" s="1074" customFormat="1" ht="12.75" customHeight="1">
      <c r="A115" s="1175">
        <v>8.3</v>
      </c>
      <c r="B115" s="1209" t="s">
        <v>733</v>
      </c>
      <c r="C115" s="1206">
        <v>2</v>
      </c>
      <c r="D115" s="1207" t="s">
        <v>714</v>
      </c>
      <c r="E115" s="1071"/>
      <c r="F115" s="1072">
        <f t="shared" si="1"/>
        <v>0</v>
      </c>
    </row>
    <row r="116" spans="1:6" s="1069" customFormat="1" ht="12.75" customHeight="1">
      <c r="A116" s="1175"/>
      <c r="B116" s="1152"/>
      <c r="C116" s="1153"/>
      <c r="D116" s="1154"/>
      <c r="E116" s="1071"/>
      <c r="F116" s="1072">
        <f t="shared" si="1"/>
        <v>0</v>
      </c>
    </row>
    <row r="117" spans="1:6" s="1069" customFormat="1" ht="28.5">
      <c r="A117" s="1159">
        <v>9</v>
      </c>
      <c r="B117" s="1160" t="s">
        <v>698</v>
      </c>
      <c r="C117" s="1149">
        <v>2928.35</v>
      </c>
      <c r="D117" s="1166" t="s">
        <v>20</v>
      </c>
      <c r="E117" s="1070"/>
      <c r="F117" s="1072">
        <f t="shared" si="1"/>
        <v>0</v>
      </c>
    </row>
    <row r="118" spans="1:6" s="1069" customFormat="1" ht="57">
      <c r="A118" s="1159">
        <v>10</v>
      </c>
      <c r="B118" s="1160" t="s">
        <v>897</v>
      </c>
      <c r="C118" s="1149">
        <v>2928.35</v>
      </c>
      <c r="D118" s="1166" t="s">
        <v>20</v>
      </c>
      <c r="E118" s="1070"/>
      <c r="F118" s="1072">
        <f t="shared" si="1"/>
        <v>0</v>
      </c>
    </row>
    <row r="119" spans="1:6" s="1069" customFormat="1" ht="12.75" customHeight="1">
      <c r="A119" s="1175"/>
      <c r="B119" s="1152"/>
      <c r="C119" s="1153"/>
      <c r="D119" s="1154"/>
      <c r="E119" s="1070"/>
      <c r="F119" s="1072">
        <f t="shared" si="1"/>
        <v>0</v>
      </c>
    </row>
    <row r="120" spans="1:6" s="1069" customFormat="1" ht="12.75" customHeight="1">
      <c r="A120" s="1176">
        <v>11</v>
      </c>
      <c r="B120" s="1177" t="s">
        <v>630</v>
      </c>
      <c r="C120" s="1178"/>
      <c r="D120" s="1150"/>
      <c r="E120" s="1080"/>
      <c r="F120" s="1072">
        <f t="shared" si="1"/>
        <v>0</v>
      </c>
    </row>
    <row r="121" spans="1:6" s="1069" customFormat="1" ht="28.5">
      <c r="A121" s="1179">
        <v>11.1</v>
      </c>
      <c r="B121" s="1160" t="s">
        <v>699</v>
      </c>
      <c r="C121" s="1149">
        <v>436.8</v>
      </c>
      <c r="D121" s="1150" t="s">
        <v>645</v>
      </c>
      <c r="E121" s="1071"/>
      <c r="F121" s="1072">
        <f t="shared" si="1"/>
        <v>0</v>
      </c>
    </row>
    <row r="122" spans="1:6" s="1081" customFormat="1" ht="28.5">
      <c r="A122" s="1159">
        <v>11.2</v>
      </c>
      <c r="B122" s="1160" t="s">
        <v>700</v>
      </c>
      <c r="C122" s="1149">
        <v>414.96</v>
      </c>
      <c r="D122" s="1150" t="s">
        <v>645</v>
      </c>
      <c r="E122" s="1071"/>
      <c r="F122" s="1072">
        <f t="shared" si="1"/>
        <v>0</v>
      </c>
    </row>
    <row r="123" spans="1:6" s="1069" customFormat="1" ht="14.25">
      <c r="A123" s="1179">
        <v>11.3</v>
      </c>
      <c r="B123" s="1160" t="s">
        <v>898</v>
      </c>
      <c r="C123" s="1149">
        <v>1820</v>
      </c>
      <c r="D123" s="1150" t="s">
        <v>644</v>
      </c>
      <c r="E123" s="1071"/>
      <c r="F123" s="1072">
        <f t="shared" si="1"/>
        <v>0</v>
      </c>
    </row>
    <row r="124" spans="1:6" s="1069" customFormat="1" ht="14.25">
      <c r="A124" s="1159">
        <v>11.4</v>
      </c>
      <c r="B124" s="1160" t="s">
        <v>701</v>
      </c>
      <c r="C124" s="1149">
        <v>1820</v>
      </c>
      <c r="D124" s="1150" t="s">
        <v>644</v>
      </c>
      <c r="E124" s="1071"/>
      <c r="F124" s="1072">
        <f t="shared" si="1"/>
        <v>0</v>
      </c>
    </row>
    <row r="125" spans="1:6" s="1069" customFormat="1" ht="12.75" customHeight="1">
      <c r="A125" s="1179">
        <v>11.5</v>
      </c>
      <c r="B125" s="1160" t="s">
        <v>828</v>
      </c>
      <c r="C125" s="1149">
        <v>4188</v>
      </c>
      <c r="D125" s="1150" t="s">
        <v>646</v>
      </c>
      <c r="E125" s="1071"/>
      <c r="F125" s="1072">
        <f t="shared" si="1"/>
        <v>0</v>
      </c>
    </row>
    <row r="126" spans="1:6" s="1069" customFormat="1" ht="12.75" customHeight="1">
      <c r="A126" s="1179"/>
      <c r="B126" s="1211"/>
      <c r="C126" s="1149"/>
      <c r="D126" s="1150"/>
      <c r="E126" s="1071"/>
      <c r="F126" s="1072">
        <f t="shared" si="1"/>
        <v>0</v>
      </c>
    </row>
    <row r="127" spans="1:6" s="1069" customFormat="1" ht="24" customHeight="1">
      <c r="A127" s="1212">
        <v>12</v>
      </c>
      <c r="B127" s="1163" t="s">
        <v>706</v>
      </c>
      <c r="C127" s="1149">
        <v>2928.35</v>
      </c>
      <c r="D127" s="1150" t="s">
        <v>20</v>
      </c>
      <c r="E127" s="1071"/>
      <c r="F127" s="1072">
        <f t="shared" si="1"/>
        <v>0</v>
      </c>
    </row>
    <row r="128" spans="1:6" s="1082" customFormat="1" ht="12.75" customHeight="1">
      <c r="A128" s="1185"/>
      <c r="B128" s="1186" t="s">
        <v>625</v>
      </c>
      <c r="C128" s="1187"/>
      <c r="D128" s="1188"/>
      <c r="E128" s="1076"/>
      <c r="F128" s="1077">
        <f>SUM(F71:F127)</f>
        <v>0</v>
      </c>
    </row>
    <row r="129" spans="1:6" s="1066" customFormat="1" ht="12.75">
      <c r="A129" s="1189"/>
      <c r="B129" s="1152"/>
      <c r="C129" s="1182"/>
      <c r="D129" s="1154"/>
      <c r="E129" s="1071"/>
      <c r="F129" s="1072">
        <f t="shared" si="1"/>
        <v>0</v>
      </c>
    </row>
    <row r="130" spans="1:6" s="1069" customFormat="1" ht="12.75">
      <c r="A130" s="1190" t="s">
        <v>626</v>
      </c>
      <c r="B130" s="1158" t="s">
        <v>901</v>
      </c>
      <c r="C130" s="1182"/>
      <c r="D130" s="1154"/>
      <c r="E130" s="1071"/>
      <c r="F130" s="1072">
        <f t="shared" si="1"/>
        <v>0</v>
      </c>
    </row>
    <row r="131" spans="1:6" s="1069" customFormat="1" ht="12.75">
      <c r="A131" s="1189"/>
      <c r="B131" s="1152"/>
      <c r="C131" s="1182"/>
      <c r="D131" s="1154"/>
      <c r="E131" s="1071"/>
      <c r="F131" s="1072">
        <f t="shared" si="1"/>
        <v>0</v>
      </c>
    </row>
    <row r="132" spans="1:6" s="1069" customFormat="1" ht="14.25">
      <c r="A132" s="1191">
        <v>1</v>
      </c>
      <c r="B132" s="1148" t="s">
        <v>680</v>
      </c>
      <c r="C132" s="1184">
        <v>1057.78</v>
      </c>
      <c r="D132" s="1150" t="s">
        <v>20</v>
      </c>
      <c r="E132" s="1071"/>
      <c r="F132" s="1072">
        <f t="shared" si="1"/>
        <v>0</v>
      </c>
    </row>
    <row r="133" spans="1:6" s="1066" customFormat="1" ht="12.75">
      <c r="A133" s="1190"/>
      <c r="B133" s="1164"/>
      <c r="C133" s="1184"/>
      <c r="D133" s="1166"/>
      <c r="E133" s="1071"/>
      <c r="F133" s="1072">
        <f t="shared" si="1"/>
        <v>0</v>
      </c>
    </row>
    <row r="134" spans="1:6" s="1066" customFormat="1" ht="12.75">
      <c r="A134" s="1030">
        <v>2</v>
      </c>
      <c r="B134" s="1155" t="s">
        <v>657</v>
      </c>
      <c r="C134" s="1184"/>
      <c r="D134" s="1150"/>
      <c r="E134" s="1071"/>
      <c r="F134" s="1072">
        <f t="shared" si="1"/>
        <v>0</v>
      </c>
    </row>
    <row r="135" spans="1:6" s="1066" customFormat="1" ht="14.25">
      <c r="A135" s="1029">
        <v>2.1</v>
      </c>
      <c r="B135" s="1156" t="s">
        <v>681</v>
      </c>
      <c r="C135" s="1184">
        <v>664.06</v>
      </c>
      <c r="D135" s="1150" t="s">
        <v>20</v>
      </c>
      <c r="E135" s="1071"/>
      <c r="F135" s="1072">
        <f t="shared" si="1"/>
        <v>0</v>
      </c>
    </row>
    <row r="136" spans="1:6" s="1066" customFormat="1" ht="14.25">
      <c r="A136" s="1029">
        <v>2.2</v>
      </c>
      <c r="B136" s="1156" t="s">
        <v>682</v>
      </c>
      <c r="C136" s="1184">
        <v>232.42</v>
      </c>
      <c r="D136" s="1150" t="s">
        <v>644</v>
      </c>
      <c r="E136" s="1071"/>
      <c r="F136" s="1072">
        <f t="shared" si="1"/>
        <v>0</v>
      </c>
    </row>
    <row r="137" spans="1:6" s="1066" customFormat="1" ht="14.25">
      <c r="A137" s="1029">
        <v>2.3</v>
      </c>
      <c r="B137" s="1156" t="s">
        <v>683</v>
      </c>
      <c r="C137" s="1184">
        <v>15.69</v>
      </c>
      <c r="D137" s="1150" t="s">
        <v>645</v>
      </c>
      <c r="E137" s="1071"/>
      <c r="F137" s="1072">
        <f t="shared" si="1"/>
        <v>0</v>
      </c>
    </row>
    <row r="138" spans="1:6" s="1066" customFormat="1" ht="12.75">
      <c r="A138" s="1190"/>
      <c r="B138" s="1164"/>
      <c r="C138" s="1184"/>
      <c r="D138" s="1166"/>
      <c r="E138" s="1071"/>
      <c r="F138" s="1072">
        <f t="shared" si="1"/>
        <v>0</v>
      </c>
    </row>
    <row r="139" spans="1:6" s="1066" customFormat="1" ht="12.75">
      <c r="A139" s="1192">
        <v>3</v>
      </c>
      <c r="B139" s="1158" t="s">
        <v>12</v>
      </c>
      <c r="C139" s="1184"/>
      <c r="D139" s="1150"/>
      <c r="E139" s="1071"/>
      <c r="F139" s="1072">
        <f t="shared" si="1"/>
        <v>0</v>
      </c>
    </row>
    <row r="140" spans="1:6" s="1066" customFormat="1" ht="12.75">
      <c r="A140" s="1192">
        <v>3.1</v>
      </c>
      <c r="B140" s="1158" t="s">
        <v>659</v>
      </c>
      <c r="C140" s="1184"/>
      <c r="D140" s="1150"/>
      <c r="E140" s="1071"/>
      <c r="F140" s="1072">
        <f t="shared" si="1"/>
        <v>0</v>
      </c>
    </row>
    <row r="141" spans="1:6" s="1066" customFormat="1" ht="14.25">
      <c r="A141" s="1213" t="s">
        <v>648</v>
      </c>
      <c r="B141" s="1160" t="s">
        <v>684</v>
      </c>
      <c r="C141" s="1184">
        <v>558.18</v>
      </c>
      <c r="D141" s="1150" t="s">
        <v>867</v>
      </c>
      <c r="E141" s="1071"/>
      <c r="F141" s="1072">
        <f t="shared" si="1"/>
        <v>0</v>
      </c>
    </row>
    <row r="142" spans="1:6" s="1066" customFormat="1" ht="14.25">
      <c r="A142" s="1213" t="s">
        <v>649</v>
      </c>
      <c r="B142" s="1160" t="s">
        <v>685</v>
      </c>
      <c r="C142" s="1184">
        <v>239.22</v>
      </c>
      <c r="D142" s="1150" t="s">
        <v>867</v>
      </c>
      <c r="E142" s="1071"/>
      <c r="F142" s="1072">
        <f t="shared" si="1"/>
        <v>0</v>
      </c>
    </row>
    <row r="143" spans="1:6" s="1066" customFormat="1" ht="14.25">
      <c r="A143" s="1213" t="s">
        <v>650</v>
      </c>
      <c r="B143" s="1156" t="s">
        <v>686</v>
      </c>
      <c r="C143" s="1184">
        <v>740.45</v>
      </c>
      <c r="D143" s="1150" t="s">
        <v>644</v>
      </c>
      <c r="E143" s="1071"/>
      <c r="F143" s="1072">
        <f aca="true" t="shared" si="2" ref="F143:F206">+E143*C143</f>
        <v>0</v>
      </c>
    </row>
    <row r="144" spans="1:6" s="1066" customFormat="1" ht="14.25">
      <c r="A144" s="1214" t="s">
        <v>651</v>
      </c>
      <c r="B144" s="1172" t="s">
        <v>687</v>
      </c>
      <c r="C144" s="1215">
        <v>74.04</v>
      </c>
      <c r="D144" s="1202" t="s">
        <v>645</v>
      </c>
      <c r="E144" s="1079"/>
      <c r="F144" s="1072">
        <f t="shared" si="2"/>
        <v>0</v>
      </c>
    </row>
    <row r="145" spans="1:6" s="1066" customFormat="1" ht="28.5">
      <c r="A145" s="1213" t="s">
        <v>652</v>
      </c>
      <c r="B145" s="1160" t="s">
        <v>889</v>
      </c>
      <c r="C145" s="1184">
        <v>287.06</v>
      </c>
      <c r="D145" s="1150" t="s">
        <v>645</v>
      </c>
      <c r="E145" s="1071"/>
      <c r="F145" s="1072">
        <f t="shared" si="2"/>
        <v>0</v>
      </c>
    </row>
    <row r="146" spans="1:6" s="1066" customFormat="1" ht="28.5">
      <c r="A146" s="1213" t="s">
        <v>653</v>
      </c>
      <c r="B146" s="1160" t="s">
        <v>688</v>
      </c>
      <c r="C146" s="1184">
        <v>678.27</v>
      </c>
      <c r="D146" s="1150" t="s">
        <v>798</v>
      </c>
      <c r="E146" s="1071"/>
      <c r="F146" s="1072">
        <f t="shared" si="2"/>
        <v>0</v>
      </c>
    </row>
    <row r="147" spans="1:6" s="1066" customFormat="1" ht="28.5">
      <c r="A147" s="1213" t="s">
        <v>654</v>
      </c>
      <c r="B147" s="1160" t="s">
        <v>896</v>
      </c>
      <c r="C147" s="1184">
        <v>453.95</v>
      </c>
      <c r="D147" s="1150" t="s">
        <v>865</v>
      </c>
      <c r="E147" s="1071"/>
      <c r="F147" s="1072">
        <f t="shared" si="2"/>
        <v>0</v>
      </c>
    </row>
    <row r="148" spans="1:6" s="1066" customFormat="1" ht="12.75">
      <c r="A148" s="1198"/>
      <c r="B148" s="1152"/>
      <c r="C148" s="1182"/>
      <c r="D148" s="1162"/>
      <c r="E148" s="1071"/>
      <c r="F148" s="1072">
        <f t="shared" si="2"/>
        <v>0</v>
      </c>
    </row>
    <row r="149" spans="1:6" s="1066" customFormat="1" ht="12.75">
      <c r="A149" s="1192">
        <v>4</v>
      </c>
      <c r="B149" s="1158" t="s">
        <v>672</v>
      </c>
      <c r="C149" s="1184"/>
      <c r="D149" s="1150"/>
      <c r="E149" s="1071"/>
      <c r="F149" s="1072">
        <f t="shared" si="2"/>
        <v>0</v>
      </c>
    </row>
    <row r="150" spans="1:6" s="1066" customFormat="1" ht="14.25">
      <c r="A150" s="1191">
        <v>4.1</v>
      </c>
      <c r="B150" s="1160" t="s">
        <v>734</v>
      </c>
      <c r="C150" s="1184">
        <v>675.71</v>
      </c>
      <c r="D150" s="1150" t="s">
        <v>20</v>
      </c>
      <c r="E150" s="1071"/>
      <c r="F150" s="1072">
        <f t="shared" si="2"/>
        <v>0</v>
      </c>
    </row>
    <row r="151" spans="1:6" s="1066" customFormat="1" ht="14.25">
      <c r="A151" s="1191">
        <v>4.2</v>
      </c>
      <c r="B151" s="1160" t="s">
        <v>735</v>
      </c>
      <c r="C151" s="1184">
        <v>403.23</v>
      </c>
      <c r="D151" s="1150" t="s">
        <v>20</v>
      </c>
      <c r="E151" s="1071"/>
      <c r="F151" s="1072">
        <f t="shared" si="2"/>
        <v>0</v>
      </c>
    </row>
    <row r="152" spans="1:6" s="1083" customFormat="1" ht="12.75">
      <c r="A152" s="1192"/>
      <c r="B152" s="1164"/>
      <c r="C152" s="1184"/>
      <c r="D152" s="1150"/>
      <c r="E152" s="1071"/>
      <c r="F152" s="1072">
        <f t="shared" si="2"/>
        <v>0</v>
      </c>
    </row>
    <row r="153" spans="1:6" s="1066" customFormat="1" ht="12.75">
      <c r="A153" s="1192">
        <v>5</v>
      </c>
      <c r="B153" s="1158" t="s">
        <v>660</v>
      </c>
      <c r="C153" s="1184"/>
      <c r="D153" s="1150"/>
      <c r="E153" s="1071"/>
      <c r="F153" s="1072">
        <f t="shared" si="2"/>
        <v>0</v>
      </c>
    </row>
    <row r="154" spans="1:6" s="1066" customFormat="1" ht="14.25">
      <c r="A154" s="1191">
        <v>5.1</v>
      </c>
      <c r="B154" s="1148" t="s">
        <v>736</v>
      </c>
      <c r="C154" s="1184">
        <v>662.46</v>
      </c>
      <c r="D154" s="1150" t="s">
        <v>20</v>
      </c>
      <c r="E154" s="1071"/>
      <c r="F154" s="1072">
        <f t="shared" si="2"/>
        <v>0</v>
      </c>
    </row>
    <row r="155" spans="1:6" s="1066" customFormat="1" ht="14.25">
      <c r="A155" s="1191">
        <v>5.2</v>
      </c>
      <c r="B155" s="1148" t="s">
        <v>737</v>
      </c>
      <c r="C155" s="1184">
        <v>395.32</v>
      </c>
      <c r="D155" s="1150" t="s">
        <v>20</v>
      </c>
      <c r="E155" s="1071"/>
      <c r="F155" s="1072">
        <f t="shared" si="2"/>
        <v>0</v>
      </c>
    </row>
    <row r="156" spans="1:6" s="1066" customFormat="1" ht="12.75">
      <c r="A156" s="1190"/>
      <c r="B156" s="1164"/>
      <c r="C156" s="1184"/>
      <c r="D156" s="1166"/>
      <c r="E156" s="1071"/>
      <c r="F156" s="1072">
        <f t="shared" si="2"/>
        <v>0</v>
      </c>
    </row>
    <row r="157" spans="1:6" s="1066" customFormat="1" ht="12.75">
      <c r="A157" s="1216">
        <v>6</v>
      </c>
      <c r="B157" s="1158" t="s">
        <v>655</v>
      </c>
      <c r="C157" s="1184"/>
      <c r="D157" s="1166"/>
      <c r="E157" s="1071"/>
      <c r="F157" s="1072">
        <f t="shared" si="2"/>
        <v>0</v>
      </c>
    </row>
    <row r="158" spans="1:6" s="1066" customFormat="1" ht="14.25">
      <c r="A158" s="1213">
        <v>6.1</v>
      </c>
      <c r="B158" s="1148" t="s">
        <v>736</v>
      </c>
      <c r="C158" s="1184">
        <v>662.46</v>
      </c>
      <c r="D158" s="1150" t="s">
        <v>20</v>
      </c>
      <c r="E158" s="1071"/>
      <c r="F158" s="1072">
        <f t="shared" si="2"/>
        <v>0</v>
      </c>
    </row>
    <row r="159" spans="1:6" ht="14.25">
      <c r="A159" s="1213">
        <v>6.2</v>
      </c>
      <c r="B159" s="1148" t="s">
        <v>737</v>
      </c>
      <c r="C159" s="1184">
        <v>395.32</v>
      </c>
      <c r="D159" s="1150" t="s">
        <v>20</v>
      </c>
      <c r="E159" s="1071"/>
      <c r="F159" s="1072">
        <f t="shared" si="2"/>
        <v>0</v>
      </c>
    </row>
    <row r="160" spans="1:6" ht="12.75">
      <c r="A160" s="1217"/>
      <c r="B160" s="1152"/>
      <c r="C160" s="1182"/>
      <c r="D160" s="1154"/>
      <c r="E160" s="1071"/>
      <c r="F160" s="1072">
        <f t="shared" si="2"/>
        <v>0</v>
      </c>
    </row>
    <row r="161" spans="1:6" s="1084" customFormat="1" ht="12.75">
      <c r="A161" s="1218">
        <v>7</v>
      </c>
      <c r="B161" s="1219" t="s">
        <v>745</v>
      </c>
      <c r="C161" s="1182"/>
      <c r="D161" s="1154"/>
      <c r="E161" s="1071"/>
      <c r="F161" s="1072">
        <f t="shared" si="2"/>
        <v>0</v>
      </c>
    </row>
    <row r="162" spans="1:6" s="1084" customFormat="1" ht="14.25">
      <c r="A162" s="1191">
        <v>7.1</v>
      </c>
      <c r="B162" s="1168" t="s">
        <v>757</v>
      </c>
      <c r="C162" s="1184">
        <v>5</v>
      </c>
      <c r="D162" s="1166" t="s">
        <v>714</v>
      </c>
      <c r="E162" s="1071"/>
      <c r="F162" s="1072">
        <f t="shared" si="2"/>
        <v>0</v>
      </c>
    </row>
    <row r="163" spans="1:6" s="1084" customFormat="1" ht="14.25">
      <c r="A163" s="1198">
        <v>7.2</v>
      </c>
      <c r="B163" s="1168" t="s">
        <v>753</v>
      </c>
      <c r="C163" s="1184">
        <v>4</v>
      </c>
      <c r="D163" s="1166" t="s">
        <v>714</v>
      </c>
      <c r="E163" s="1071"/>
      <c r="F163" s="1072">
        <f t="shared" si="2"/>
        <v>0</v>
      </c>
    </row>
    <row r="164" spans="1:6" s="1084" customFormat="1" ht="14.25">
      <c r="A164" s="1220">
        <v>7.3</v>
      </c>
      <c r="B164" s="1168" t="s">
        <v>750</v>
      </c>
      <c r="C164" s="1184">
        <v>1</v>
      </c>
      <c r="D164" s="1166" t="s">
        <v>714</v>
      </c>
      <c r="E164" s="1071"/>
      <c r="F164" s="1072">
        <f t="shared" si="2"/>
        <v>0</v>
      </c>
    </row>
    <row r="165" spans="1:6" s="1084" customFormat="1" ht="14.25">
      <c r="A165" s="1220">
        <v>7.4</v>
      </c>
      <c r="B165" s="1168" t="s">
        <v>751</v>
      </c>
      <c r="C165" s="1184">
        <v>1</v>
      </c>
      <c r="D165" s="1166" t="s">
        <v>714</v>
      </c>
      <c r="E165" s="1071"/>
      <c r="F165" s="1072">
        <f t="shared" si="2"/>
        <v>0</v>
      </c>
    </row>
    <row r="166" spans="1:6" s="1084" customFormat="1" ht="14.25">
      <c r="A166" s="1220">
        <v>7.5</v>
      </c>
      <c r="B166" s="1168" t="s">
        <v>834</v>
      </c>
      <c r="C166" s="1184">
        <v>2</v>
      </c>
      <c r="D166" s="1166" t="s">
        <v>714</v>
      </c>
      <c r="E166" s="1071"/>
      <c r="F166" s="1072">
        <f t="shared" si="2"/>
        <v>0</v>
      </c>
    </row>
    <row r="167" spans="1:6" s="1084" customFormat="1" ht="14.25">
      <c r="A167" s="1220">
        <v>7.6</v>
      </c>
      <c r="B167" s="1168" t="s">
        <v>853</v>
      </c>
      <c r="C167" s="1184">
        <v>1</v>
      </c>
      <c r="D167" s="1166" t="s">
        <v>66</v>
      </c>
      <c r="E167" s="1071"/>
      <c r="F167" s="1072">
        <f t="shared" si="2"/>
        <v>0</v>
      </c>
    </row>
    <row r="168" spans="1:6" s="1084" customFormat="1" ht="14.25">
      <c r="A168" s="1198">
        <v>7.7</v>
      </c>
      <c r="B168" s="1205" t="s">
        <v>690</v>
      </c>
      <c r="C168" s="1196">
        <v>13</v>
      </c>
      <c r="D168" s="1207" t="s">
        <v>714</v>
      </c>
      <c r="E168" s="1071"/>
      <c r="F168" s="1072">
        <f t="shared" si="2"/>
        <v>0</v>
      </c>
    </row>
    <row r="169" spans="1:6" s="1084" customFormat="1" ht="12.75">
      <c r="A169" s="1189"/>
      <c r="B169" s="1152"/>
      <c r="C169" s="1182"/>
      <c r="D169" s="1154"/>
      <c r="E169" s="1071"/>
      <c r="F169" s="1072">
        <f t="shared" si="2"/>
        <v>0</v>
      </c>
    </row>
    <row r="170" spans="1:6" s="1085" customFormat="1" ht="15" customHeight="1">
      <c r="A170" s="1213">
        <v>8</v>
      </c>
      <c r="B170" s="1163" t="s">
        <v>708</v>
      </c>
      <c r="C170" s="1184">
        <v>139</v>
      </c>
      <c r="D170" s="1166" t="s">
        <v>714</v>
      </c>
      <c r="E170" s="1071"/>
      <c r="F170" s="1072">
        <f t="shared" si="2"/>
        <v>0</v>
      </c>
    </row>
    <row r="171" spans="1:6" ht="14.25">
      <c r="A171" s="1221"/>
      <c r="B171" s="1222"/>
      <c r="C171" s="1182"/>
      <c r="D171" s="1223"/>
      <c r="E171" s="1086"/>
      <c r="F171" s="1072">
        <f t="shared" si="2"/>
        <v>0</v>
      </c>
    </row>
    <row r="172" spans="1:6" ht="28.5">
      <c r="A172" s="1213">
        <v>9</v>
      </c>
      <c r="B172" s="1160" t="s">
        <v>698</v>
      </c>
      <c r="C172" s="1184">
        <v>1057.78</v>
      </c>
      <c r="D172" s="1166" t="s">
        <v>20</v>
      </c>
      <c r="E172" s="1086"/>
      <c r="F172" s="1072">
        <f t="shared" si="2"/>
        <v>0</v>
      </c>
    </row>
    <row r="173" spans="1:6" ht="57">
      <c r="A173" s="1213">
        <v>10</v>
      </c>
      <c r="B173" s="1160" t="s">
        <v>902</v>
      </c>
      <c r="C173" s="1184">
        <v>1057.78</v>
      </c>
      <c r="D173" s="1166" t="s">
        <v>20</v>
      </c>
      <c r="E173" s="1086"/>
      <c r="F173" s="1072">
        <f t="shared" si="2"/>
        <v>0</v>
      </c>
    </row>
    <row r="174" spans="1:6" ht="14.25">
      <c r="A174" s="1213"/>
      <c r="B174" s="1148"/>
      <c r="C174" s="1184"/>
      <c r="D174" s="1166"/>
      <c r="E174" s="1086"/>
      <c r="F174" s="1072">
        <f t="shared" si="2"/>
        <v>0</v>
      </c>
    </row>
    <row r="175" spans="1:6" ht="12.75">
      <c r="A175" s="1224">
        <v>11</v>
      </c>
      <c r="B175" s="1177" t="s">
        <v>632</v>
      </c>
      <c r="C175" s="1155"/>
      <c r="D175" s="1150"/>
      <c r="E175" s="1086"/>
      <c r="F175" s="1072">
        <f t="shared" si="2"/>
        <v>0</v>
      </c>
    </row>
    <row r="176" spans="1:6" ht="28.5">
      <c r="A176" s="1225">
        <v>11.1</v>
      </c>
      <c r="B176" s="1160" t="s">
        <v>699</v>
      </c>
      <c r="C176" s="1184">
        <v>55.78</v>
      </c>
      <c r="D176" s="1150" t="s">
        <v>645</v>
      </c>
      <c r="E176" s="1086"/>
      <c r="F176" s="1072">
        <f t="shared" si="2"/>
        <v>0</v>
      </c>
    </row>
    <row r="177" spans="1:6" ht="28.5">
      <c r="A177" s="1225">
        <v>11.2</v>
      </c>
      <c r="B177" s="1160" t="s">
        <v>700</v>
      </c>
      <c r="C177" s="1184">
        <v>52.99</v>
      </c>
      <c r="D177" s="1150" t="s">
        <v>645</v>
      </c>
      <c r="E177" s="1086"/>
      <c r="F177" s="1072">
        <f t="shared" si="2"/>
        <v>0</v>
      </c>
    </row>
    <row r="178" spans="1:6" ht="14.25">
      <c r="A178" s="1213">
        <v>11.3</v>
      </c>
      <c r="B178" s="1160" t="s">
        <v>898</v>
      </c>
      <c r="C178" s="1184">
        <v>232.42</v>
      </c>
      <c r="D178" s="1150" t="s">
        <v>644</v>
      </c>
      <c r="E178" s="1086"/>
      <c r="F178" s="1072">
        <f t="shared" si="2"/>
        <v>0</v>
      </c>
    </row>
    <row r="179" spans="1:6" ht="14.25">
      <c r="A179" s="1225">
        <v>11.4</v>
      </c>
      <c r="B179" s="1160" t="s">
        <v>701</v>
      </c>
      <c r="C179" s="1184">
        <v>232.42</v>
      </c>
      <c r="D179" s="1150" t="s">
        <v>644</v>
      </c>
      <c r="E179" s="1086"/>
      <c r="F179" s="1072">
        <f t="shared" si="2"/>
        <v>0</v>
      </c>
    </row>
    <row r="180" spans="1:6" ht="14.25">
      <c r="A180" s="1225">
        <v>11.5</v>
      </c>
      <c r="B180" s="1160" t="s">
        <v>828</v>
      </c>
      <c r="C180" s="1184">
        <v>534.9</v>
      </c>
      <c r="D180" s="1150" t="s">
        <v>646</v>
      </c>
      <c r="E180" s="1086"/>
      <c r="F180" s="1072">
        <f t="shared" si="2"/>
        <v>0</v>
      </c>
    </row>
    <row r="181" spans="1:6" ht="14.25">
      <c r="A181" s="1225"/>
      <c r="B181" s="1211"/>
      <c r="C181" s="1184"/>
      <c r="D181" s="1150"/>
      <c r="E181" s="1086"/>
      <c r="F181" s="1072">
        <f t="shared" si="2"/>
        <v>0</v>
      </c>
    </row>
    <row r="182" spans="1:6" ht="28.5">
      <c r="A182" s="1183">
        <v>12</v>
      </c>
      <c r="B182" s="1163" t="s">
        <v>706</v>
      </c>
      <c r="C182" s="1184">
        <v>1057.78</v>
      </c>
      <c r="D182" s="1150" t="s">
        <v>20</v>
      </c>
      <c r="E182" s="1086"/>
      <c r="F182" s="1072">
        <f t="shared" si="2"/>
        <v>0</v>
      </c>
    </row>
    <row r="183" spans="1:6" ht="12.75">
      <c r="A183" s="1226"/>
      <c r="B183" s="1227" t="s">
        <v>627</v>
      </c>
      <c r="C183" s="1228"/>
      <c r="D183" s="1229"/>
      <c r="E183" s="1087"/>
      <c r="F183" s="1088">
        <f>SUM(F129:F182)</f>
        <v>0</v>
      </c>
    </row>
    <row r="184" spans="1:6" ht="12.75">
      <c r="A184" s="1189"/>
      <c r="B184" s="1152"/>
      <c r="C184" s="1182"/>
      <c r="D184" s="1154"/>
      <c r="E184" s="1071"/>
      <c r="F184" s="1072"/>
    </row>
    <row r="185" spans="1:6" ht="12.75">
      <c r="A185" s="1189" t="s">
        <v>494</v>
      </c>
      <c r="B185" s="1219" t="s">
        <v>661</v>
      </c>
      <c r="C185" s="1182"/>
      <c r="D185" s="1154"/>
      <c r="E185" s="1071"/>
      <c r="F185" s="1072">
        <f t="shared" si="2"/>
        <v>0</v>
      </c>
    </row>
    <row r="186" spans="1:6" ht="12.75">
      <c r="A186" s="1189"/>
      <c r="B186" s="1152"/>
      <c r="C186" s="1182"/>
      <c r="D186" s="1154"/>
      <c r="E186" s="1071"/>
      <c r="F186" s="1072">
        <f t="shared" si="2"/>
        <v>0</v>
      </c>
    </row>
    <row r="187" spans="1:6" ht="14.25">
      <c r="A187" s="1230">
        <v>1</v>
      </c>
      <c r="B187" s="1231" t="s">
        <v>680</v>
      </c>
      <c r="C187" s="1196">
        <v>6782.36</v>
      </c>
      <c r="D187" s="1197" t="s">
        <v>20</v>
      </c>
      <c r="E187" s="1071"/>
      <c r="F187" s="1072">
        <f t="shared" si="2"/>
        <v>0</v>
      </c>
    </row>
    <row r="188" spans="1:6" ht="12.75">
      <c r="A188" s="1232"/>
      <c r="B188" s="1233"/>
      <c r="C188" s="1196"/>
      <c r="D188" s="1207"/>
      <c r="E188" s="1071"/>
      <c r="F188" s="1072">
        <f t="shared" si="2"/>
        <v>0</v>
      </c>
    </row>
    <row r="189" spans="1:6" ht="12.75">
      <c r="A189" s="1234">
        <v>2</v>
      </c>
      <c r="B189" s="1219" t="s">
        <v>12</v>
      </c>
      <c r="C189" s="1196"/>
      <c r="D189" s="1197"/>
      <c r="E189" s="1071"/>
      <c r="F189" s="1072">
        <f t="shared" si="2"/>
        <v>0</v>
      </c>
    </row>
    <row r="190" spans="1:6" ht="12.75">
      <c r="A190" s="1234">
        <v>2.1</v>
      </c>
      <c r="B190" s="1219" t="s">
        <v>662</v>
      </c>
      <c r="C190" s="1196"/>
      <c r="D190" s="1197"/>
      <c r="E190" s="1071"/>
      <c r="F190" s="1072">
        <f t="shared" si="2"/>
        <v>0</v>
      </c>
    </row>
    <row r="191" spans="1:6" ht="14.25">
      <c r="A191" s="1235" t="s">
        <v>663</v>
      </c>
      <c r="B191" s="1195" t="s">
        <v>684</v>
      </c>
      <c r="C191" s="1196">
        <v>3497.33</v>
      </c>
      <c r="D191" s="1197" t="s">
        <v>868</v>
      </c>
      <c r="E191" s="1071"/>
      <c r="F191" s="1072">
        <f t="shared" si="2"/>
        <v>0</v>
      </c>
    </row>
    <row r="192" spans="1:6" ht="14.25">
      <c r="A192" s="1235" t="s">
        <v>664</v>
      </c>
      <c r="B192" s="1195" t="s">
        <v>685</v>
      </c>
      <c r="C192" s="1196">
        <v>1498.86</v>
      </c>
      <c r="D192" s="1197" t="s">
        <v>868</v>
      </c>
      <c r="E192" s="1071"/>
      <c r="F192" s="1072">
        <f t="shared" si="2"/>
        <v>0</v>
      </c>
    </row>
    <row r="193" spans="1:6" ht="14.25">
      <c r="A193" s="1235" t="s">
        <v>665</v>
      </c>
      <c r="B193" s="1236" t="s">
        <v>686</v>
      </c>
      <c r="C193" s="1196">
        <v>4747.65</v>
      </c>
      <c r="D193" s="1197" t="s">
        <v>835</v>
      </c>
      <c r="E193" s="1071"/>
      <c r="F193" s="1072">
        <f t="shared" si="2"/>
        <v>0</v>
      </c>
    </row>
    <row r="194" spans="1:6" ht="14.25">
      <c r="A194" s="1235" t="s">
        <v>666</v>
      </c>
      <c r="B194" s="1195" t="s">
        <v>687</v>
      </c>
      <c r="C194" s="1196">
        <v>474.76</v>
      </c>
      <c r="D194" s="1197" t="s">
        <v>831</v>
      </c>
      <c r="E194" s="1071"/>
      <c r="F194" s="1072">
        <f t="shared" si="2"/>
        <v>0</v>
      </c>
    </row>
    <row r="195" spans="1:6" ht="28.5">
      <c r="A195" s="1235" t="s">
        <v>667</v>
      </c>
      <c r="B195" s="1195" t="s">
        <v>889</v>
      </c>
      <c r="C195" s="1196">
        <v>1798.63</v>
      </c>
      <c r="D195" s="1197" t="s">
        <v>831</v>
      </c>
      <c r="E195" s="1071"/>
      <c r="F195" s="1072">
        <f t="shared" si="2"/>
        <v>0</v>
      </c>
    </row>
    <row r="196" spans="1:6" ht="28.5">
      <c r="A196" s="1235" t="s">
        <v>668</v>
      </c>
      <c r="B196" s="1195" t="s">
        <v>688</v>
      </c>
      <c r="C196" s="1196">
        <v>4242.9</v>
      </c>
      <c r="D196" s="1197" t="s">
        <v>832</v>
      </c>
      <c r="E196" s="1071"/>
      <c r="F196" s="1072">
        <f t="shared" si="2"/>
        <v>0</v>
      </c>
    </row>
    <row r="197" spans="1:6" ht="28.5">
      <c r="A197" s="1235" t="s">
        <v>669</v>
      </c>
      <c r="B197" s="1195" t="s">
        <v>896</v>
      </c>
      <c r="C197" s="1196">
        <v>2852.47</v>
      </c>
      <c r="D197" s="1197" t="s">
        <v>866</v>
      </c>
      <c r="E197" s="1071"/>
      <c r="F197" s="1072">
        <f t="shared" si="2"/>
        <v>0</v>
      </c>
    </row>
    <row r="198" spans="1:6" ht="12.75">
      <c r="A198" s="1230"/>
      <c r="B198" s="1233"/>
      <c r="C198" s="1196"/>
      <c r="D198" s="1197"/>
      <c r="E198" s="1071"/>
      <c r="F198" s="1072">
        <f t="shared" si="2"/>
        <v>0</v>
      </c>
    </row>
    <row r="199" spans="1:6" ht="12.75">
      <c r="A199" s="1234">
        <v>3</v>
      </c>
      <c r="B199" s="1219" t="s">
        <v>672</v>
      </c>
      <c r="C199" s="1196"/>
      <c r="D199" s="1197"/>
      <c r="E199" s="1071"/>
      <c r="F199" s="1072">
        <f t="shared" si="2"/>
        <v>0</v>
      </c>
    </row>
    <row r="200" spans="1:6" ht="14.25">
      <c r="A200" s="1230">
        <v>3.1</v>
      </c>
      <c r="B200" s="1231" t="s">
        <v>734</v>
      </c>
      <c r="C200" s="1196">
        <v>2633.35</v>
      </c>
      <c r="D200" s="1197" t="s">
        <v>20</v>
      </c>
      <c r="E200" s="1071"/>
      <c r="F200" s="1072">
        <f t="shared" si="2"/>
        <v>0</v>
      </c>
    </row>
    <row r="201" spans="1:6" ht="14.25">
      <c r="A201" s="1230">
        <v>3.2</v>
      </c>
      <c r="B201" s="1231" t="s">
        <v>735</v>
      </c>
      <c r="C201" s="1196">
        <v>4284.65</v>
      </c>
      <c r="D201" s="1197" t="s">
        <v>20</v>
      </c>
      <c r="E201" s="1071"/>
      <c r="F201" s="1072">
        <f t="shared" si="2"/>
        <v>0</v>
      </c>
    </row>
    <row r="202" spans="1:6" ht="12.75">
      <c r="A202" s="1234"/>
      <c r="B202" s="1233"/>
      <c r="C202" s="1196"/>
      <c r="D202" s="1197"/>
      <c r="E202" s="1071"/>
      <c r="F202" s="1072">
        <f t="shared" si="2"/>
        <v>0</v>
      </c>
    </row>
    <row r="203" spans="1:6" ht="12.75">
      <c r="A203" s="1234">
        <v>4</v>
      </c>
      <c r="B203" s="1219" t="s">
        <v>660</v>
      </c>
      <c r="C203" s="1196"/>
      <c r="D203" s="1197"/>
      <c r="E203" s="1071"/>
      <c r="F203" s="1072">
        <f t="shared" si="2"/>
        <v>0</v>
      </c>
    </row>
    <row r="204" spans="1:6" ht="14.25">
      <c r="A204" s="1230">
        <v>4.1</v>
      </c>
      <c r="B204" s="1231" t="s">
        <v>736</v>
      </c>
      <c r="C204" s="1196">
        <v>2581.72</v>
      </c>
      <c r="D204" s="1197" t="s">
        <v>20</v>
      </c>
      <c r="E204" s="1071"/>
      <c r="F204" s="1072">
        <f t="shared" si="2"/>
        <v>0</v>
      </c>
    </row>
    <row r="205" spans="1:6" ht="14.25">
      <c r="A205" s="1230">
        <v>4.2</v>
      </c>
      <c r="B205" s="1231" t="s">
        <v>737</v>
      </c>
      <c r="C205" s="1196">
        <v>4200.64</v>
      </c>
      <c r="D205" s="1197" t="s">
        <v>20</v>
      </c>
      <c r="E205" s="1071"/>
      <c r="F205" s="1072">
        <f t="shared" si="2"/>
        <v>0</v>
      </c>
    </row>
    <row r="206" spans="1:6" ht="12.75">
      <c r="A206" s="1232"/>
      <c r="B206" s="1233"/>
      <c r="C206" s="1196"/>
      <c r="D206" s="1207"/>
      <c r="E206" s="1071"/>
      <c r="F206" s="1072">
        <f t="shared" si="2"/>
        <v>0</v>
      </c>
    </row>
    <row r="207" spans="1:6" ht="12.75">
      <c r="A207" s="1237">
        <v>5</v>
      </c>
      <c r="B207" s="1219" t="s">
        <v>655</v>
      </c>
      <c r="C207" s="1196"/>
      <c r="D207" s="1207"/>
      <c r="E207" s="1071"/>
      <c r="F207" s="1072">
        <f aca="true" t="shared" si="3" ref="F207:F270">+E207*C207</f>
        <v>0</v>
      </c>
    </row>
    <row r="208" spans="1:6" ht="14.25">
      <c r="A208" s="1235">
        <v>5.1</v>
      </c>
      <c r="B208" s="1231" t="s">
        <v>736</v>
      </c>
      <c r="C208" s="1196">
        <v>2581.72</v>
      </c>
      <c r="D208" s="1197" t="s">
        <v>20</v>
      </c>
      <c r="E208" s="1071"/>
      <c r="F208" s="1072">
        <f t="shared" si="3"/>
        <v>0</v>
      </c>
    </row>
    <row r="209" spans="1:6" ht="14.25">
      <c r="A209" s="1235">
        <v>5.2</v>
      </c>
      <c r="B209" s="1231" t="s">
        <v>737</v>
      </c>
      <c r="C209" s="1196">
        <v>4200.64</v>
      </c>
      <c r="D209" s="1197" t="s">
        <v>20</v>
      </c>
      <c r="E209" s="1071"/>
      <c r="F209" s="1072">
        <f t="shared" si="3"/>
        <v>0</v>
      </c>
    </row>
    <row r="210" spans="1:6" ht="12.75">
      <c r="A210" s="1217"/>
      <c r="B210" s="1152"/>
      <c r="C210" s="1182"/>
      <c r="D210" s="1154"/>
      <c r="E210" s="1071"/>
      <c r="F210" s="1072">
        <f t="shared" si="3"/>
        <v>0</v>
      </c>
    </row>
    <row r="211" spans="1:6" s="1084" customFormat="1" ht="12.75">
      <c r="A211" s="1234">
        <v>6</v>
      </c>
      <c r="B211" s="1219" t="s">
        <v>745</v>
      </c>
      <c r="C211" s="1196"/>
      <c r="D211" s="1207"/>
      <c r="E211" s="1071"/>
      <c r="F211" s="1072">
        <f t="shared" si="3"/>
        <v>0</v>
      </c>
    </row>
    <row r="212" spans="1:6" s="1084" customFormat="1" ht="14.25">
      <c r="A212" s="1230">
        <v>6.1</v>
      </c>
      <c r="B212" s="1205" t="s">
        <v>746</v>
      </c>
      <c r="C212" s="1196">
        <v>3</v>
      </c>
      <c r="D212" s="1207" t="s">
        <v>714</v>
      </c>
      <c r="E212" s="1071"/>
      <c r="F212" s="1072">
        <f t="shared" si="3"/>
        <v>0</v>
      </c>
    </row>
    <row r="213" spans="1:6" s="1084" customFormat="1" ht="14.25">
      <c r="A213" s="1198">
        <v>6.2</v>
      </c>
      <c r="B213" s="1205" t="s">
        <v>747</v>
      </c>
      <c r="C213" s="1196">
        <v>10</v>
      </c>
      <c r="D213" s="1207" t="s">
        <v>714</v>
      </c>
      <c r="E213" s="1071"/>
      <c r="F213" s="1072">
        <f t="shared" si="3"/>
        <v>0</v>
      </c>
    </row>
    <row r="214" spans="1:6" s="1084" customFormat="1" ht="14.25">
      <c r="A214" s="1198">
        <v>6.3</v>
      </c>
      <c r="B214" s="1205" t="s">
        <v>748</v>
      </c>
      <c r="C214" s="1196">
        <v>7</v>
      </c>
      <c r="D214" s="1207" t="s">
        <v>714</v>
      </c>
      <c r="E214" s="1071"/>
      <c r="F214" s="1072">
        <f t="shared" si="3"/>
        <v>0</v>
      </c>
    </row>
    <row r="215" spans="1:6" s="1084" customFormat="1" ht="14.25">
      <c r="A215" s="1198">
        <v>6.4</v>
      </c>
      <c r="B215" s="1205" t="s">
        <v>749</v>
      </c>
      <c r="C215" s="1196">
        <v>27</v>
      </c>
      <c r="D215" s="1207" t="s">
        <v>714</v>
      </c>
      <c r="E215" s="1071"/>
      <c r="F215" s="1072">
        <f t="shared" si="3"/>
        <v>0</v>
      </c>
    </row>
    <row r="216" spans="1:6" s="1084" customFormat="1" ht="14.25">
      <c r="A216" s="1198">
        <v>6.5</v>
      </c>
      <c r="B216" s="1205" t="s">
        <v>750</v>
      </c>
      <c r="C216" s="1196">
        <v>30</v>
      </c>
      <c r="D216" s="1207" t="s">
        <v>714</v>
      </c>
      <c r="E216" s="1071"/>
      <c r="F216" s="1072">
        <f t="shared" si="3"/>
        <v>0</v>
      </c>
    </row>
    <row r="217" spans="1:6" s="1084" customFormat="1" ht="14.25">
      <c r="A217" s="1198">
        <v>6.6</v>
      </c>
      <c r="B217" s="1205" t="s">
        <v>751</v>
      </c>
      <c r="C217" s="1196">
        <v>27</v>
      </c>
      <c r="D217" s="1207" t="s">
        <v>714</v>
      </c>
      <c r="E217" s="1071"/>
      <c r="F217" s="1072">
        <f t="shared" si="3"/>
        <v>0</v>
      </c>
    </row>
    <row r="218" spans="1:6" s="1084" customFormat="1" ht="14.25">
      <c r="A218" s="1198">
        <v>6.7</v>
      </c>
      <c r="B218" s="1231" t="s">
        <v>760</v>
      </c>
      <c r="C218" s="1196">
        <v>3</v>
      </c>
      <c r="D218" s="1207" t="s">
        <v>714</v>
      </c>
      <c r="E218" s="1071"/>
      <c r="F218" s="1072">
        <f t="shared" si="3"/>
        <v>0</v>
      </c>
    </row>
    <row r="219" spans="1:6" s="1084" customFormat="1" ht="14.25">
      <c r="A219" s="1198">
        <v>6.8</v>
      </c>
      <c r="B219" s="1231" t="s">
        <v>761</v>
      </c>
      <c r="C219" s="1196">
        <v>25</v>
      </c>
      <c r="D219" s="1207" t="s">
        <v>714</v>
      </c>
      <c r="E219" s="1071"/>
      <c r="F219" s="1072">
        <f t="shared" si="3"/>
        <v>0</v>
      </c>
    </row>
    <row r="220" spans="1:6" s="1084" customFormat="1" ht="14.25">
      <c r="A220" s="1220">
        <v>6.9</v>
      </c>
      <c r="B220" s="1168" t="s">
        <v>853</v>
      </c>
      <c r="C220" s="1184">
        <v>0.75</v>
      </c>
      <c r="D220" s="1166" t="s">
        <v>25</v>
      </c>
      <c r="E220" s="1071"/>
      <c r="F220" s="1072">
        <f t="shared" si="3"/>
        <v>0</v>
      </c>
    </row>
    <row r="221" spans="1:6" s="1084" customFormat="1" ht="14.25">
      <c r="A221" s="1238">
        <v>6.1</v>
      </c>
      <c r="B221" s="1205" t="s">
        <v>690</v>
      </c>
      <c r="C221" s="1196">
        <v>132</v>
      </c>
      <c r="D221" s="1207" t="s">
        <v>714</v>
      </c>
      <c r="E221" s="1071"/>
      <c r="F221" s="1072">
        <f t="shared" si="3"/>
        <v>0</v>
      </c>
    </row>
    <row r="222" spans="1:6" s="1084" customFormat="1" ht="14.25">
      <c r="A222" s="1189"/>
      <c r="B222" s="1239"/>
      <c r="C222" s="1182"/>
      <c r="D222" s="1154"/>
      <c r="E222" s="1071"/>
      <c r="F222" s="1072">
        <f t="shared" si="3"/>
        <v>0</v>
      </c>
    </row>
    <row r="223" spans="1:6" s="1085" customFormat="1" ht="14.25">
      <c r="A223" s="1235">
        <v>7</v>
      </c>
      <c r="B223" s="1240" t="s">
        <v>708</v>
      </c>
      <c r="C223" s="1196">
        <v>345</v>
      </c>
      <c r="D223" s="1207" t="s">
        <v>714</v>
      </c>
      <c r="E223" s="1071"/>
      <c r="F223" s="1072">
        <f t="shared" si="3"/>
        <v>0</v>
      </c>
    </row>
    <row r="224" spans="1:6" s="1085" customFormat="1" ht="11.25" customHeight="1">
      <c r="A224" s="1204"/>
      <c r="B224" s="1240"/>
      <c r="C224" s="1241"/>
      <c r="D224" s="1207"/>
      <c r="E224" s="1071"/>
      <c r="F224" s="1072">
        <f t="shared" si="3"/>
        <v>0</v>
      </c>
    </row>
    <row r="225" spans="1:6" ht="28.5">
      <c r="A225" s="1213">
        <v>8</v>
      </c>
      <c r="B225" s="1160" t="s">
        <v>698</v>
      </c>
      <c r="C225" s="1184">
        <v>6782.36</v>
      </c>
      <c r="D225" s="1166" t="s">
        <v>20</v>
      </c>
      <c r="E225" s="1086"/>
      <c r="F225" s="1072">
        <f t="shared" si="3"/>
        <v>0</v>
      </c>
    </row>
    <row r="226" spans="1:6" ht="57">
      <c r="A226" s="1213">
        <v>9</v>
      </c>
      <c r="B226" s="1160" t="s">
        <v>902</v>
      </c>
      <c r="C226" s="1184">
        <v>6782.36</v>
      </c>
      <c r="D226" s="1166" t="s">
        <v>20</v>
      </c>
      <c r="E226" s="1086"/>
      <c r="F226" s="1072">
        <f t="shared" si="3"/>
        <v>0</v>
      </c>
    </row>
    <row r="227" spans="1:6" s="1085" customFormat="1" ht="14.25">
      <c r="A227" s="1204"/>
      <c r="B227" s="1240"/>
      <c r="C227" s="1241"/>
      <c r="D227" s="1207"/>
      <c r="E227" s="1071"/>
      <c r="F227" s="1072">
        <f t="shared" si="3"/>
        <v>0</v>
      </c>
    </row>
    <row r="228" spans="1:6" ht="28.5">
      <c r="A228" s="1183">
        <v>10</v>
      </c>
      <c r="B228" s="1163" t="s">
        <v>706</v>
      </c>
      <c r="C228" s="1184">
        <v>6782.36</v>
      </c>
      <c r="D228" s="1150" t="s">
        <v>20</v>
      </c>
      <c r="E228" s="1086"/>
      <c r="F228" s="1072">
        <f t="shared" si="3"/>
        <v>0</v>
      </c>
    </row>
    <row r="229" spans="1:6" ht="12.75">
      <c r="A229" s="1242"/>
      <c r="B229" s="1227" t="s">
        <v>618</v>
      </c>
      <c r="C229" s="1243"/>
      <c r="D229" s="1244"/>
      <c r="E229" s="1089"/>
      <c r="F229" s="1090">
        <f>SUM(F185:F228)</f>
        <v>0</v>
      </c>
    </row>
    <row r="230" spans="1:6" ht="12.75">
      <c r="A230" s="1245"/>
      <c r="B230" s="1246"/>
      <c r="C230" s="1247"/>
      <c r="D230" s="1246"/>
      <c r="E230" s="1070"/>
      <c r="F230" s="1072"/>
    </row>
    <row r="231" spans="1:6" ht="12.75">
      <c r="A231" s="1248" t="s">
        <v>628</v>
      </c>
      <c r="B231" s="1219" t="s">
        <v>670</v>
      </c>
      <c r="C231" s="1206"/>
      <c r="D231" s="1207"/>
      <c r="E231" s="1070"/>
      <c r="F231" s="1072">
        <f t="shared" si="3"/>
        <v>0</v>
      </c>
    </row>
    <row r="232" spans="1:6" ht="12.75">
      <c r="A232" s="1248"/>
      <c r="B232" s="1233"/>
      <c r="C232" s="1206"/>
      <c r="D232" s="1207"/>
      <c r="E232" s="1070"/>
      <c r="F232" s="1072">
        <f t="shared" si="3"/>
        <v>0</v>
      </c>
    </row>
    <row r="233" spans="1:6" ht="14.25">
      <c r="A233" s="1208">
        <v>1</v>
      </c>
      <c r="B233" s="1231" t="s">
        <v>680</v>
      </c>
      <c r="C233" s="1206">
        <v>13955.58</v>
      </c>
      <c r="D233" s="1197" t="s">
        <v>20</v>
      </c>
      <c r="E233" s="1070"/>
      <c r="F233" s="1072">
        <f t="shared" si="3"/>
        <v>0</v>
      </c>
    </row>
    <row r="234" spans="1:6" ht="12.75">
      <c r="A234" s="1248"/>
      <c r="B234" s="1233"/>
      <c r="C234" s="1206"/>
      <c r="D234" s="1207"/>
      <c r="E234" s="1070"/>
      <c r="F234" s="1072">
        <f t="shared" si="3"/>
        <v>0</v>
      </c>
    </row>
    <row r="235" spans="1:6" ht="12.75">
      <c r="A235" s="1249">
        <v>2</v>
      </c>
      <c r="B235" s="1219" t="s">
        <v>657</v>
      </c>
      <c r="C235" s="1206"/>
      <c r="D235" s="1197"/>
      <c r="E235" s="1070"/>
      <c r="F235" s="1072">
        <f t="shared" si="3"/>
        <v>0</v>
      </c>
    </row>
    <row r="236" spans="1:6" ht="14.25">
      <c r="A236" s="1036">
        <v>2.1</v>
      </c>
      <c r="B236" s="1236" t="s">
        <v>681</v>
      </c>
      <c r="C236" s="1206">
        <v>846.7</v>
      </c>
      <c r="D236" s="1197" t="s">
        <v>20</v>
      </c>
      <c r="E236" s="1070"/>
      <c r="F236" s="1072">
        <f t="shared" si="3"/>
        <v>0</v>
      </c>
    </row>
    <row r="237" spans="1:6" ht="14.25">
      <c r="A237" s="1036">
        <v>2.2</v>
      </c>
      <c r="B237" s="1236" t="s">
        <v>682</v>
      </c>
      <c r="C237" s="1206">
        <v>275.18</v>
      </c>
      <c r="D237" s="1197" t="s">
        <v>835</v>
      </c>
      <c r="E237" s="1070"/>
      <c r="F237" s="1072">
        <f t="shared" si="3"/>
        <v>0</v>
      </c>
    </row>
    <row r="238" spans="1:6" ht="14.25">
      <c r="A238" s="1036">
        <v>2.3</v>
      </c>
      <c r="B238" s="1236" t="s">
        <v>683</v>
      </c>
      <c r="C238" s="1206">
        <v>18.57</v>
      </c>
      <c r="D238" s="1197" t="s">
        <v>831</v>
      </c>
      <c r="E238" s="1070"/>
      <c r="F238" s="1072">
        <f t="shared" si="3"/>
        <v>0</v>
      </c>
    </row>
    <row r="239" spans="1:6" ht="12.75">
      <c r="A239" s="1248"/>
      <c r="B239" s="1233"/>
      <c r="C239" s="1206"/>
      <c r="D239" s="1207"/>
      <c r="E239" s="1070"/>
      <c r="F239" s="1072">
        <f t="shared" si="3"/>
        <v>0</v>
      </c>
    </row>
    <row r="240" spans="1:6" ht="12.75">
      <c r="A240" s="1249">
        <v>3</v>
      </c>
      <c r="B240" s="1219" t="s">
        <v>12</v>
      </c>
      <c r="C240" s="1206"/>
      <c r="D240" s="1197"/>
      <c r="E240" s="1070"/>
      <c r="F240" s="1072">
        <f t="shared" si="3"/>
        <v>0</v>
      </c>
    </row>
    <row r="241" spans="1:6" ht="12.75">
      <c r="A241" s="1249">
        <v>3.1</v>
      </c>
      <c r="B241" s="1219" t="s">
        <v>673</v>
      </c>
      <c r="C241" s="1206"/>
      <c r="D241" s="1197"/>
      <c r="E241" s="1070"/>
      <c r="F241" s="1072">
        <f t="shared" si="3"/>
        <v>0</v>
      </c>
    </row>
    <row r="242" spans="1:6" ht="14.25">
      <c r="A242" s="1204" t="s">
        <v>648</v>
      </c>
      <c r="B242" s="1195" t="s">
        <v>684</v>
      </c>
      <c r="C242" s="1206">
        <v>7130.34</v>
      </c>
      <c r="D242" s="1197" t="s">
        <v>868</v>
      </c>
      <c r="E242" s="1070"/>
      <c r="F242" s="1072">
        <f t="shared" si="3"/>
        <v>0</v>
      </c>
    </row>
    <row r="243" spans="1:6" ht="14.25">
      <c r="A243" s="1204" t="s">
        <v>649</v>
      </c>
      <c r="B243" s="1195" t="s">
        <v>685</v>
      </c>
      <c r="C243" s="1206">
        <v>3055.86</v>
      </c>
      <c r="D243" s="1197" t="s">
        <v>868</v>
      </c>
      <c r="E243" s="1070"/>
      <c r="F243" s="1072">
        <f t="shared" si="3"/>
        <v>0</v>
      </c>
    </row>
    <row r="244" spans="1:6" ht="14.25">
      <c r="A244" s="1204" t="s">
        <v>650</v>
      </c>
      <c r="B244" s="1236" t="s">
        <v>686</v>
      </c>
      <c r="C244" s="1206">
        <v>9262.26</v>
      </c>
      <c r="D244" s="1197" t="s">
        <v>835</v>
      </c>
      <c r="E244" s="1070"/>
      <c r="F244" s="1072">
        <f t="shared" si="3"/>
        <v>0</v>
      </c>
    </row>
    <row r="245" spans="1:6" ht="14.25">
      <c r="A245" s="1204" t="s">
        <v>651</v>
      </c>
      <c r="B245" s="1195" t="s">
        <v>687</v>
      </c>
      <c r="C245" s="1206">
        <v>980.27</v>
      </c>
      <c r="D245" s="1197" t="s">
        <v>831</v>
      </c>
      <c r="E245" s="1070"/>
      <c r="F245" s="1072">
        <f t="shared" si="3"/>
        <v>0</v>
      </c>
    </row>
    <row r="246" spans="1:6" ht="28.5">
      <c r="A246" s="1204" t="s">
        <v>652</v>
      </c>
      <c r="B246" s="1195" t="s">
        <v>889</v>
      </c>
      <c r="C246" s="1206">
        <v>3667.03</v>
      </c>
      <c r="D246" s="1197" t="s">
        <v>831</v>
      </c>
      <c r="E246" s="1070"/>
      <c r="F246" s="1072">
        <f t="shared" si="3"/>
        <v>0</v>
      </c>
    </row>
    <row r="247" spans="1:6" ht="28.5">
      <c r="A247" s="1204" t="s">
        <v>653</v>
      </c>
      <c r="B247" s="1195" t="s">
        <v>688</v>
      </c>
      <c r="C247" s="1206">
        <v>8638.72</v>
      </c>
      <c r="D247" s="1197" t="s">
        <v>832</v>
      </c>
      <c r="E247" s="1070"/>
      <c r="F247" s="1072">
        <f t="shared" si="3"/>
        <v>0</v>
      </c>
    </row>
    <row r="248" spans="1:6" ht="28.5">
      <c r="A248" s="1204" t="s">
        <v>654</v>
      </c>
      <c r="B248" s="1160" t="s">
        <v>896</v>
      </c>
      <c r="C248" s="1206">
        <v>5829.6</v>
      </c>
      <c r="D248" s="1197" t="s">
        <v>866</v>
      </c>
      <c r="E248" s="1070"/>
      <c r="F248" s="1072">
        <f t="shared" si="3"/>
        <v>0</v>
      </c>
    </row>
    <row r="249" spans="1:6" ht="12.75">
      <c r="A249" s="1161"/>
      <c r="B249" s="1152"/>
      <c r="C249" s="1153"/>
      <c r="D249" s="1162"/>
      <c r="E249" s="1070"/>
      <c r="F249" s="1072">
        <f t="shared" si="3"/>
        <v>0</v>
      </c>
    </row>
    <row r="250" spans="1:6" ht="12.75">
      <c r="A250" s="1249">
        <v>4</v>
      </c>
      <c r="B250" s="1219" t="s">
        <v>672</v>
      </c>
      <c r="C250" s="1206"/>
      <c r="D250" s="1197"/>
      <c r="E250" s="1070"/>
      <c r="F250" s="1072">
        <f t="shared" si="3"/>
        <v>0</v>
      </c>
    </row>
    <row r="251" spans="1:6" ht="14.25">
      <c r="A251" s="1208">
        <v>4.1</v>
      </c>
      <c r="B251" s="1231" t="s">
        <v>903</v>
      </c>
      <c r="C251" s="1206">
        <v>348.32</v>
      </c>
      <c r="D251" s="1197" t="s">
        <v>20</v>
      </c>
      <c r="E251" s="1070"/>
      <c r="F251" s="1072">
        <f t="shared" si="3"/>
        <v>0</v>
      </c>
    </row>
    <row r="252" spans="1:6" ht="14.25">
      <c r="A252" s="1208">
        <v>4.2</v>
      </c>
      <c r="B252" s="1231" t="s">
        <v>734</v>
      </c>
      <c r="C252" s="1206">
        <v>3209.22</v>
      </c>
      <c r="D252" s="1197" t="s">
        <v>20</v>
      </c>
      <c r="E252" s="1070"/>
      <c r="F252" s="1072">
        <f t="shared" si="3"/>
        <v>0</v>
      </c>
    </row>
    <row r="253" spans="1:6" ht="14.25">
      <c r="A253" s="1208">
        <v>4.3</v>
      </c>
      <c r="B253" s="1231" t="s">
        <v>735</v>
      </c>
      <c r="C253" s="1206">
        <v>10680.54</v>
      </c>
      <c r="D253" s="1197" t="s">
        <v>20</v>
      </c>
      <c r="E253" s="1070"/>
      <c r="F253" s="1072">
        <f t="shared" si="3"/>
        <v>0</v>
      </c>
    </row>
    <row r="254" spans="1:6" ht="12.75">
      <c r="A254" s="1249"/>
      <c r="B254" s="1233"/>
      <c r="C254" s="1206"/>
      <c r="D254" s="1197"/>
      <c r="E254" s="1070"/>
      <c r="F254" s="1072">
        <f t="shared" si="3"/>
        <v>0</v>
      </c>
    </row>
    <row r="255" spans="1:6" ht="12.75">
      <c r="A255" s="1250">
        <v>5</v>
      </c>
      <c r="B255" s="1219" t="s">
        <v>660</v>
      </c>
      <c r="C255" s="1206"/>
      <c r="D255" s="1197"/>
      <c r="E255" s="1070"/>
      <c r="F255" s="1072">
        <f t="shared" si="3"/>
        <v>0</v>
      </c>
    </row>
    <row r="256" spans="1:6" ht="14.25">
      <c r="A256" s="1204">
        <v>5.1</v>
      </c>
      <c r="B256" s="1231" t="s">
        <v>732</v>
      </c>
      <c r="C256" s="1206">
        <v>338.17</v>
      </c>
      <c r="D256" s="1197" t="s">
        <v>20</v>
      </c>
      <c r="E256" s="1070"/>
      <c r="F256" s="1072">
        <f t="shared" si="3"/>
        <v>0</v>
      </c>
    </row>
    <row r="257" spans="1:6" ht="14.25">
      <c r="A257" s="1204">
        <v>5.2</v>
      </c>
      <c r="B257" s="1231" t="s">
        <v>739</v>
      </c>
      <c r="C257" s="1206">
        <v>3146.29</v>
      </c>
      <c r="D257" s="1197" t="s">
        <v>20</v>
      </c>
      <c r="E257" s="1070"/>
      <c r="F257" s="1072">
        <f t="shared" si="3"/>
        <v>0</v>
      </c>
    </row>
    <row r="258" spans="1:6" ht="14.25">
      <c r="A258" s="1204">
        <v>5.3</v>
      </c>
      <c r="B258" s="1231" t="s">
        <v>737</v>
      </c>
      <c r="C258" s="1206">
        <v>10471.12</v>
      </c>
      <c r="D258" s="1197" t="s">
        <v>20</v>
      </c>
      <c r="E258" s="1070"/>
      <c r="F258" s="1072">
        <f t="shared" si="3"/>
        <v>0</v>
      </c>
    </row>
    <row r="259" spans="1:6" ht="12.75">
      <c r="A259" s="1248"/>
      <c r="B259" s="1233"/>
      <c r="C259" s="1206"/>
      <c r="D259" s="1207"/>
      <c r="E259" s="1070"/>
      <c r="F259" s="1072">
        <f t="shared" si="3"/>
        <v>0</v>
      </c>
    </row>
    <row r="260" spans="1:6" ht="12.75">
      <c r="A260" s="1249">
        <v>6</v>
      </c>
      <c r="B260" s="1219" t="s">
        <v>655</v>
      </c>
      <c r="C260" s="1206"/>
      <c r="D260" s="1207"/>
      <c r="E260" s="1070"/>
      <c r="F260" s="1072">
        <f t="shared" si="3"/>
        <v>0</v>
      </c>
    </row>
    <row r="261" spans="1:6" ht="14.25">
      <c r="A261" s="1208">
        <v>6.1</v>
      </c>
      <c r="B261" s="1231" t="s">
        <v>732</v>
      </c>
      <c r="C261" s="1206">
        <v>338.17</v>
      </c>
      <c r="D261" s="1207" t="s">
        <v>20</v>
      </c>
      <c r="E261" s="1070"/>
      <c r="F261" s="1072">
        <f t="shared" si="3"/>
        <v>0</v>
      </c>
    </row>
    <row r="262" spans="1:6" ht="14.25">
      <c r="A262" s="1208">
        <v>6.2</v>
      </c>
      <c r="B262" s="1231" t="s">
        <v>739</v>
      </c>
      <c r="C262" s="1206">
        <v>3146.29</v>
      </c>
      <c r="D262" s="1197" t="s">
        <v>20</v>
      </c>
      <c r="E262" s="1070"/>
      <c r="F262" s="1072">
        <f t="shared" si="3"/>
        <v>0</v>
      </c>
    </row>
    <row r="263" spans="1:6" ht="14.25">
      <c r="A263" s="1208">
        <v>6.3</v>
      </c>
      <c r="B263" s="1231" t="s">
        <v>737</v>
      </c>
      <c r="C263" s="1206">
        <v>10471.12</v>
      </c>
      <c r="D263" s="1197" t="s">
        <v>20</v>
      </c>
      <c r="E263" s="1070"/>
      <c r="F263" s="1072">
        <f t="shared" si="3"/>
        <v>0</v>
      </c>
    </row>
    <row r="264" spans="1:6" ht="12.75">
      <c r="A264" s="1203"/>
      <c r="B264" s="1152"/>
      <c r="C264" s="1153"/>
      <c r="D264" s="1154"/>
      <c r="E264" s="1070"/>
      <c r="F264" s="1072">
        <f t="shared" si="3"/>
        <v>0</v>
      </c>
    </row>
    <row r="265" spans="1:6" ht="12.75">
      <c r="A265" s="1249">
        <v>7</v>
      </c>
      <c r="B265" s="1219" t="s">
        <v>745</v>
      </c>
      <c r="C265" s="1206"/>
      <c r="D265" s="1207"/>
      <c r="E265" s="1070"/>
      <c r="F265" s="1072">
        <f t="shared" si="3"/>
        <v>0</v>
      </c>
    </row>
    <row r="266" spans="1:6" ht="14.25">
      <c r="A266" s="1208">
        <v>7.1</v>
      </c>
      <c r="B266" s="1205" t="s">
        <v>759</v>
      </c>
      <c r="C266" s="1206">
        <v>3</v>
      </c>
      <c r="D266" s="1207" t="s">
        <v>714</v>
      </c>
      <c r="E266" s="1071"/>
      <c r="F266" s="1072">
        <f t="shared" si="3"/>
        <v>0</v>
      </c>
    </row>
    <row r="267" spans="1:6" s="1084" customFormat="1" ht="14.25">
      <c r="A267" s="1161">
        <v>7.2</v>
      </c>
      <c r="B267" s="1205" t="s">
        <v>758</v>
      </c>
      <c r="C267" s="1206">
        <v>5</v>
      </c>
      <c r="D267" s="1207" t="s">
        <v>714</v>
      </c>
      <c r="E267" s="1071"/>
      <c r="F267" s="1072">
        <f t="shared" si="3"/>
        <v>0</v>
      </c>
    </row>
    <row r="268" spans="1:6" s="1084" customFormat="1" ht="14.25">
      <c r="A268" s="1175">
        <v>7.3</v>
      </c>
      <c r="B268" s="1205" t="s">
        <v>748</v>
      </c>
      <c r="C268" s="1206">
        <v>19</v>
      </c>
      <c r="D268" s="1207" t="s">
        <v>714</v>
      </c>
      <c r="E268" s="1071"/>
      <c r="F268" s="1072">
        <f t="shared" si="3"/>
        <v>0</v>
      </c>
    </row>
    <row r="269" spans="1:6" s="1091" customFormat="1" ht="14.25">
      <c r="A269" s="1208">
        <v>7.4</v>
      </c>
      <c r="B269" s="1205" t="s">
        <v>854</v>
      </c>
      <c r="C269" s="1206">
        <v>1</v>
      </c>
      <c r="D269" s="1207" t="s">
        <v>714</v>
      </c>
      <c r="E269" s="1071"/>
      <c r="F269" s="1072">
        <f t="shared" si="3"/>
        <v>0</v>
      </c>
    </row>
    <row r="270" spans="1:6" s="1084" customFormat="1" ht="14.25">
      <c r="A270" s="1161">
        <v>7.5</v>
      </c>
      <c r="B270" s="1205" t="s">
        <v>855</v>
      </c>
      <c r="C270" s="1149">
        <v>2</v>
      </c>
      <c r="D270" s="1166" t="s">
        <v>714</v>
      </c>
      <c r="E270" s="1071"/>
      <c r="F270" s="1072">
        <f t="shared" si="3"/>
        <v>0</v>
      </c>
    </row>
    <row r="271" spans="1:6" s="1084" customFormat="1" ht="14.25">
      <c r="A271" s="1175">
        <v>7.6</v>
      </c>
      <c r="B271" s="1205" t="s">
        <v>856</v>
      </c>
      <c r="C271" s="1206">
        <v>2</v>
      </c>
      <c r="D271" s="1207" t="s">
        <v>714</v>
      </c>
      <c r="E271" s="1071"/>
      <c r="F271" s="1072">
        <f aca="true" t="shared" si="4" ref="F271:F334">+E271*C271</f>
        <v>0</v>
      </c>
    </row>
    <row r="272" spans="1:6" s="1084" customFormat="1" ht="14.25">
      <c r="A272" s="1161">
        <v>7.7</v>
      </c>
      <c r="B272" s="1168" t="s">
        <v>709</v>
      </c>
      <c r="C272" s="1206">
        <v>5</v>
      </c>
      <c r="D272" s="1207" t="s">
        <v>714</v>
      </c>
      <c r="E272" s="1071"/>
      <c r="F272" s="1072">
        <f t="shared" si="4"/>
        <v>0</v>
      </c>
    </row>
    <row r="273" spans="1:6" s="1092" customFormat="1" ht="14.25">
      <c r="A273" s="1208">
        <v>7.8</v>
      </c>
      <c r="B273" s="1205" t="s">
        <v>749</v>
      </c>
      <c r="C273" s="1206">
        <v>36</v>
      </c>
      <c r="D273" s="1207" t="s">
        <v>714</v>
      </c>
      <c r="E273" s="1071"/>
      <c r="F273" s="1072">
        <f t="shared" si="4"/>
        <v>0</v>
      </c>
    </row>
    <row r="274" spans="1:6" s="1093" customFormat="1" ht="14.25">
      <c r="A274" s="1251">
        <v>7.9</v>
      </c>
      <c r="B274" s="1168" t="s">
        <v>750</v>
      </c>
      <c r="C274" s="1149">
        <v>51</v>
      </c>
      <c r="D274" s="1166" t="s">
        <v>714</v>
      </c>
      <c r="E274" s="1071"/>
      <c r="F274" s="1072">
        <f t="shared" si="4"/>
        <v>0</v>
      </c>
    </row>
    <row r="275" spans="1:6" s="1084" customFormat="1" ht="14.25">
      <c r="A275" s="1252">
        <v>7.1</v>
      </c>
      <c r="B275" s="1168" t="s">
        <v>857</v>
      </c>
      <c r="C275" s="1149">
        <v>1</v>
      </c>
      <c r="D275" s="1166" t="s">
        <v>714</v>
      </c>
      <c r="E275" s="1071"/>
      <c r="F275" s="1072">
        <f t="shared" si="4"/>
        <v>0</v>
      </c>
    </row>
    <row r="276" spans="1:6" s="1084" customFormat="1" ht="14.25">
      <c r="A276" s="1253">
        <v>7.11</v>
      </c>
      <c r="B276" s="1168" t="s">
        <v>707</v>
      </c>
      <c r="C276" s="1149">
        <v>4</v>
      </c>
      <c r="D276" s="1166" t="s">
        <v>714</v>
      </c>
      <c r="E276" s="1071"/>
      <c r="F276" s="1072">
        <f t="shared" si="4"/>
        <v>0</v>
      </c>
    </row>
    <row r="277" spans="1:6" s="1084" customFormat="1" ht="14.25">
      <c r="A277" s="1254">
        <v>7.12</v>
      </c>
      <c r="B277" s="1168" t="s">
        <v>751</v>
      </c>
      <c r="C277" s="1149">
        <v>37</v>
      </c>
      <c r="D277" s="1166" t="s">
        <v>714</v>
      </c>
      <c r="E277" s="1071"/>
      <c r="F277" s="1072">
        <f t="shared" si="4"/>
        <v>0</v>
      </c>
    </row>
    <row r="278" spans="1:6" s="1084" customFormat="1" ht="14.25">
      <c r="A278" s="1252">
        <v>7.13</v>
      </c>
      <c r="B278" s="1168" t="s">
        <v>710</v>
      </c>
      <c r="C278" s="1149">
        <v>2</v>
      </c>
      <c r="D278" s="1166" t="s">
        <v>714</v>
      </c>
      <c r="E278" s="1071"/>
      <c r="F278" s="1072">
        <f t="shared" si="4"/>
        <v>0</v>
      </c>
    </row>
    <row r="279" spans="1:6" s="1084" customFormat="1" ht="14.25">
      <c r="A279" s="1255">
        <v>7.14</v>
      </c>
      <c r="B279" s="1256" t="s">
        <v>711</v>
      </c>
      <c r="C279" s="1173">
        <v>1</v>
      </c>
      <c r="D279" s="1174" t="s">
        <v>714</v>
      </c>
      <c r="E279" s="1079"/>
      <c r="F279" s="1072">
        <f t="shared" si="4"/>
        <v>0</v>
      </c>
    </row>
    <row r="280" spans="1:6" s="1084" customFormat="1" ht="14.25">
      <c r="A280" s="1254">
        <v>7.15</v>
      </c>
      <c r="B280" s="1148" t="s">
        <v>760</v>
      </c>
      <c r="C280" s="1149">
        <v>3</v>
      </c>
      <c r="D280" s="1166" t="s">
        <v>714</v>
      </c>
      <c r="E280" s="1071"/>
      <c r="F280" s="1072">
        <f t="shared" si="4"/>
        <v>0</v>
      </c>
    </row>
    <row r="281" spans="1:6" s="1084" customFormat="1" ht="14.25">
      <c r="A281" s="1252">
        <v>7.16</v>
      </c>
      <c r="B281" s="1148" t="s">
        <v>761</v>
      </c>
      <c r="C281" s="1149">
        <v>27</v>
      </c>
      <c r="D281" s="1166" t="s">
        <v>714</v>
      </c>
      <c r="E281" s="1071"/>
      <c r="F281" s="1072">
        <f t="shared" si="4"/>
        <v>0</v>
      </c>
    </row>
    <row r="282" spans="1:6" s="1084" customFormat="1" ht="14.25">
      <c r="A282" s="1253">
        <v>7.17</v>
      </c>
      <c r="B282" s="1168" t="s">
        <v>853</v>
      </c>
      <c r="C282" s="1184">
        <v>2</v>
      </c>
      <c r="D282" s="1166" t="s">
        <v>25</v>
      </c>
      <c r="E282" s="1071"/>
      <c r="F282" s="1072">
        <f t="shared" si="4"/>
        <v>0</v>
      </c>
    </row>
    <row r="283" spans="1:6" ht="14.25">
      <c r="A283" s="1253">
        <v>7.18000000000001</v>
      </c>
      <c r="B283" s="1168" t="s">
        <v>690</v>
      </c>
      <c r="C283" s="1184">
        <v>199</v>
      </c>
      <c r="D283" s="1166" t="s">
        <v>714</v>
      </c>
      <c r="E283" s="1071"/>
      <c r="F283" s="1072">
        <f t="shared" si="4"/>
        <v>0</v>
      </c>
    </row>
    <row r="284" spans="1:6" ht="12.75">
      <c r="A284" s="1161"/>
      <c r="B284" s="1169"/>
      <c r="C284" s="1153"/>
      <c r="D284" s="1154"/>
      <c r="E284" s="1094"/>
      <c r="F284" s="1072">
        <f t="shared" si="4"/>
        <v>0</v>
      </c>
    </row>
    <row r="285" spans="1:6" s="1084" customFormat="1" ht="12.75">
      <c r="A285" s="1203">
        <v>8</v>
      </c>
      <c r="B285" s="1155" t="s">
        <v>620</v>
      </c>
      <c r="C285" s="1149"/>
      <c r="D285" s="1166"/>
      <c r="E285" s="1094"/>
      <c r="F285" s="1072">
        <f t="shared" si="4"/>
        <v>0</v>
      </c>
    </row>
    <row r="286" spans="1:6" s="1084" customFormat="1" ht="14.25">
      <c r="A286" s="1175">
        <v>8.1</v>
      </c>
      <c r="B286" s="1170" t="s">
        <v>729</v>
      </c>
      <c r="C286" s="1149">
        <v>2</v>
      </c>
      <c r="D286" s="1166" t="s">
        <v>714</v>
      </c>
      <c r="E286" s="1071"/>
      <c r="F286" s="1072">
        <f t="shared" si="4"/>
        <v>0</v>
      </c>
    </row>
    <row r="287" spans="1:6" s="1084" customFormat="1" ht="14.25">
      <c r="A287" s="1175">
        <v>8.2</v>
      </c>
      <c r="B287" s="1170" t="s">
        <v>730</v>
      </c>
      <c r="C287" s="1149">
        <v>9</v>
      </c>
      <c r="D287" s="1166" t="s">
        <v>714</v>
      </c>
      <c r="E287" s="1071"/>
      <c r="F287" s="1072">
        <f t="shared" si="4"/>
        <v>0</v>
      </c>
    </row>
    <row r="288" spans="1:6" s="1084" customFormat="1" ht="14.25">
      <c r="A288" s="1257">
        <v>8.3</v>
      </c>
      <c r="B288" s="1170" t="s">
        <v>733</v>
      </c>
      <c r="C288" s="1149">
        <v>25</v>
      </c>
      <c r="D288" s="1166" t="s">
        <v>714</v>
      </c>
      <c r="E288" s="1071"/>
      <c r="F288" s="1072">
        <f t="shared" si="4"/>
        <v>0</v>
      </c>
    </row>
    <row r="289" spans="1:6" s="1096" customFormat="1" ht="14.25">
      <c r="A289" s="1258">
        <v>8.4</v>
      </c>
      <c r="B289" s="1259" t="s">
        <v>738</v>
      </c>
      <c r="C289" s="1260">
        <v>11</v>
      </c>
      <c r="D289" s="1261" t="s">
        <v>714</v>
      </c>
      <c r="E289" s="1095"/>
      <c r="F289" s="1072">
        <f t="shared" si="4"/>
        <v>0</v>
      </c>
    </row>
    <row r="290" spans="1:6" ht="12.75">
      <c r="A290" s="1151"/>
      <c r="B290" s="1152"/>
      <c r="C290" s="1153"/>
      <c r="D290" s="1154"/>
      <c r="E290" s="1097"/>
      <c r="F290" s="1072">
        <f t="shared" si="4"/>
        <v>0</v>
      </c>
    </row>
    <row r="291" spans="1:6" ht="12.75">
      <c r="A291" s="1250">
        <v>9</v>
      </c>
      <c r="B291" s="1219" t="s">
        <v>674</v>
      </c>
      <c r="C291" s="1206"/>
      <c r="D291" s="1207"/>
      <c r="E291" s="1097"/>
      <c r="F291" s="1072">
        <f t="shared" si="4"/>
        <v>0</v>
      </c>
    </row>
    <row r="292" spans="1:6" ht="14.25">
      <c r="A292" s="1204">
        <v>9.1</v>
      </c>
      <c r="B292" s="1195" t="s">
        <v>740</v>
      </c>
      <c r="C292" s="1206">
        <v>1</v>
      </c>
      <c r="D292" s="1207" t="s">
        <v>714</v>
      </c>
      <c r="E292" s="1071"/>
      <c r="F292" s="1072">
        <f t="shared" si="4"/>
        <v>0</v>
      </c>
    </row>
    <row r="293" spans="1:6" ht="14.25">
      <c r="A293" s="1204">
        <v>9.2</v>
      </c>
      <c r="B293" s="1195" t="s">
        <v>741</v>
      </c>
      <c r="C293" s="1206">
        <v>7</v>
      </c>
      <c r="D293" s="1207" t="s">
        <v>714</v>
      </c>
      <c r="E293" s="1071"/>
      <c r="F293" s="1072">
        <f t="shared" si="4"/>
        <v>0</v>
      </c>
    </row>
    <row r="294" spans="1:6" ht="14.25">
      <c r="A294" s="1204">
        <v>9.3</v>
      </c>
      <c r="B294" s="1195" t="s">
        <v>742</v>
      </c>
      <c r="C294" s="1206">
        <v>1</v>
      </c>
      <c r="D294" s="1207" t="s">
        <v>714</v>
      </c>
      <c r="E294" s="1071"/>
      <c r="F294" s="1072">
        <f t="shared" si="4"/>
        <v>0</v>
      </c>
    </row>
    <row r="295" spans="1:6" ht="14.25">
      <c r="A295" s="1204">
        <v>9.4</v>
      </c>
      <c r="B295" s="1195" t="s">
        <v>712</v>
      </c>
      <c r="C295" s="1206">
        <v>9</v>
      </c>
      <c r="D295" s="1207" t="s">
        <v>714</v>
      </c>
      <c r="E295" s="1071"/>
      <c r="F295" s="1072">
        <f t="shared" si="4"/>
        <v>0</v>
      </c>
    </row>
    <row r="296" spans="1:6" ht="12.75">
      <c r="A296" s="1151"/>
      <c r="B296" s="1152"/>
      <c r="C296" s="1153"/>
      <c r="D296" s="1154"/>
      <c r="E296" s="1097"/>
      <c r="F296" s="1072">
        <f t="shared" si="4"/>
        <v>0</v>
      </c>
    </row>
    <row r="297" spans="1:6" s="1085" customFormat="1" ht="14.25">
      <c r="A297" s="1175">
        <v>10</v>
      </c>
      <c r="B297" s="1240" t="s">
        <v>708</v>
      </c>
      <c r="C297" s="1206">
        <v>382</v>
      </c>
      <c r="D297" s="1207" t="s">
        <v>714</v>
      </c>
      <c r="E297" s="1070"/>
      <c r="F297" s="1072">
        <f t="shared" si="4"/>
        <v>0</v>
      </c>
    </row>
    <row r="298" spans="1:6" ht="12.75">
      <c r="A298" s="1262"/>
      <c r="B298" s="1263"/>
      <c r="C298" s="1153"/>
      <c r="D298" s="1223"/>
      <c r="E298" s="1071"/>
      <c r="F298" s="1072">
        <f t="shared" si="4"/>
        <v>0</v>
      </c>
    </row>
    <row r="299" spans="1:6" ht="28.5">
      <c r="A299" s="1204">
        <v>11</v>
      </c>
      <c r="B299" s="1195" t="s">
        <v>698</v>
      </c>
      <c r="C299" s="1206">
        <v>13955.58</v>
      </c>
      <c r="D299" s="1207" t="s">
        <v>20</v>
      </c>
      <c r="E299" s="1071"/>
      <c r="F299" s="1072">
        <f t="shared" si="4"/>
        <v>0</v>
      </c>
    </row>
    <row r="300" spans="1:6" ht="57">
      <c r="A300" s="1204">
        <v>12</v>
      </c>
      <c r="B300" s="1160" t="s">
        <v>902</v>
      </c>
      <c r="C300" s="1206">
        <v>13955.58</v>
      </c>
      <c r="D300" s="1207" t="s">
        <v>20</v>
      </c>
      <c r="E300" s="1071"/>
      <c r="F300" s="1072">
        <f t="shared" si="4"/>
        <v>0</v>
      </c>
    </row>
    <row r="301" spans="1:6" ht="12.75">
      <c r="A301" s="1204"/>
      <c r="B301" s="1233"/>
      <c r="C301" s="1206"/>
      <c r="D301" s="1207"/>
      <c r="E301" s="1078"/>
      <c r="F301" s="1072">
        <f t="shared" si="4"/>
        <v>0</v>
      </c>
    </row>
    <row r="302" spans="1:6" ht="12.75">
      <c r="A302" s="1264">
        <v>13</v>
      </c>
      <c r="B302" s="1265" t="s">
        <v>633</v>
      </c>
      <c r="C302" s="1266"/>
      <c r="D302" s="1197"/>
      <c r="E302" s="1078"/>
      <c r="F302" s="1072">
        <f t="shared" si="4"/>
        <v>0</v>
      </c>
    </row>
    <row r="303" spans="1:6" ht="28.5">
      <c r="A303" s="1267">
        <v>13.1</v>
      </c>
      <c r="B303" s="1195" t="s">
        <v>699</v>
      </c>
      <c r="C303" s="1206">
        <v>66.05</v>
      </c>
      <c r="D303" s="1197" t="s">
        <v>831</v>
      </c>
      <c r="E303" s="1078"/>
      <c r="F303" s="1072">
        <f t="shared" si="4"/>
        <v>0</v>
      </c>
    </row>
    <row r="304" spans="1:6" ht="28.5">
      <c r="A304" s="1267">
        <v>13.2</v>
      </c>
      <c r="B304" s="1195" t="s">
        <v>700</v>
      </c>
      <c r="C304" s="1206">
        <v>62.75</v>
      </c>
      <c r="D304" s="1197" t="s">
        <v>831</v>
      </c>
      <c r="E304" s="1078"/>
      <c r="F304" s="1072">
        <f t="shared" si="4"/>
        <v>0</v>
      </c>
    </row>
    <row r="305" spans="1:6" ht="14.25">
      <c r="A305" s="1204">
        <v>13.3</v>
      </c>
      <c r="B305" s="1160" t="s">
        <v>898</v>
      </c>
      <c r="C305" s="1206">
        <v>275.18</v>
      </c>
      <c r="D305" s="1197" t="s">
        <v>835</v>
      </c>
      <c r="E305" s="1078"/>
      <c r="F305" s="1072">
        <f t="shared" si="4"/>
        <v>0</v>
      </c>
    </row>
    <row r="306" spans="1:6" ht="14.25">
      <c r="A306" s="1267">
        <v>13.4</v>
      </c>
      <c r="B306" s="1195" t="s">
        <v>701</v>
      </c>
      <c r="C306" s="1206">
        <v>275.18</v>
      </c>
      <c r="D306" s="1197" t="s">
        <v>835</v>
      </c>
      <c r="E306" s="1078"/>
      <c r="F306" s="1072">
        <f t="shared" si="4"/>
        <v>0</v>
      </c>
    </row>
    <row r="307" spans="1:6" ht="14.25">
      <c r="A307" s="1267">
        <v>13.5</v>
      </c>
      <c r="B307" s="1195" t="s">
        <v>828</v>
      </c>
      <c r="C307" s="1206">
        <v>633.31</v>
      </c>
      <c r="D307" s="1197" t="s">
        <v>836</v>
      </c>
      <c r="E307" s="1078"/>
      <c r="F307" s="1072">
        <f t="shared" si="4"/>
        <v>0</v>
      </c>
    </row>
    <row r="308" spans="1:6" ht="14.25">
      <c r="A308" s="1267"/>
      <c r="B308" s="1268"/>
      <c r="C308" s="1206"/>
      <c r="D308" s="1197"/>
      <c r="E308" s="1078"/>
      <c r="F308" s="1072">
        <f t="shared" si="4"/>
        <v>0</v>
      </c>
    </row>
    <row r="309" spans="1:6" ht="28.5">
      <c r="A309" s="1269">
        <v>14</v>
      </c>
      <c r="B309" s="1240" t="s">
        <v>706</v>
      </c>
      <c r="C309" s="1206">
        <v>13955.58</v>
      </c>
      <c r="D309" s="1197" t="s">
        <v>20</v>
      </c>
      <c r="E309" s="1078"/>
      <c r="F309" s="1072">
        <f t="shared" si="4"/>
        <v>0</v>
      </c>
    </row>
    <row r="310" spans="1:6" ht="12.75">
      <c r="A310" s="1270"/>
      <c r="B310" s="1227" t="s">
        <v>629</v>
      </c>
      <c r="C310" s="1271"/>
      <c r="D310" s="1272"/>
      <c r="E310" s="1098"/>
      <c r="F310" s="1099">
        <f>SUM(F231:F309)</f>
        <v>0</v>
      </c>
    </row>
    <row r="311" spans="1:6" ht="12.75">
      <c r="A311" s="1245"/>
      <c r="B311" s="1246"/>
      <c r="C311" s="1153"/>
      <c r="D311" s="1246"/>
      <c r="E311" s="1071"/>
      <c r="F311" s="1072"/>
    </row>
    <row r="312" spans="1:6" ht="25.5">
      <c r="A312" s="1248" t="s">
        <v>634</v>
      </c>
      <c r="B312" s="1219" t="s">
        <v>675</v>
      </c>
      <c r="C312" s="1206"/>
      <c r="D312" s="1207"/>
      <c r="E312" s="1071"/>
      <c r="F312" s="1072">
        <f t="shared" si="4"/>
        <v>0</v>
      </c>
    </row>
    <row r="313" spans="1:6" ht="12.75">
      <c r="A313" s="1248"/>
      <c r="B313" s="1233"/>
      <c r="C313" s="1206"/>
      <c r="D313" s="1207"/>
      <c r="E313" s="1097"/>
      <c r="F313" s="1072">
        <f t="shared" si="4"/>
        <v>0</v>
      </c>
    </row>
    <row r="314" spans="1:6" ht="14.25">
      <c r="A314" s="1208">
        <v>1</v>
      </c>
      <c r="B314" s="1231" t="s">
        <v>680</v>
      </c>
      <c r="C314" s="1206">
        <v>2610.54</v>
      </c>
      <c r="D314" s="1197" t="s">
        <v>20</v>
      </c>
      <c r="E314" s="1097"/>
      <c r="F314" s="1072">
        <f t="shared" si="4"/>
        <v>0</v>
      </c>
    </row>
    <row r="315" spans="1:6" ht="12.75">
      <c r="A315" s="1248"/>
      <c r="B315" s="1233"/>
      <c r="C315" s="1206"/>
      <c r="D315" s="1207"/>
      <c r="E315" s="1097"/>
      <c r="F315" s="1072">
        <f t="shared" si="4"/>
        <v>0</v>
      </c>
    </row>
    <row r="316" spans="1:6" ht="12.75">
      <c r="A316" s="1249">
        <v>2</v>
      </c>
      <c r="B316" s="1219" t="s">
        <v>12</v>
      </c>
      <c r="C316" s="1206"/>
      <c r="D316" s="1197"/>
      <c r="E316" s="1097"/>
      <c r="F316" s="1072">
        <f t="shared" si="4"/>
        <v>0</v>
      </c>
    </row>
    <row r="317" spans="1:6" ht="12.75">
      <c r="A317" s="1249">
        <v>2.1</v>
      </c>
      <c r="B317" s="1219" t="s">
        <v>676</v>
      </c>
      <c r="C317" s="1206"/>
      <c r="D317" s="1197"/>
      <c r="E317" s="1097"/>
      <c r="F317" s="1072">
        <f t="shared" si="4"/>
        <v>0</v>
      </c>
    </row>
    <row r="318" spans="1:6" ht="14.25">
      <c r="A318" s="1204" t="s">
        <v>663</v>
      </c>
      <c r="B318" s="1195" t="s">
        <v>684</v>
      </c>
      <c r="C318" s="1206">
        <v>1321.08</v>
      </c>
      <c r="D318" s="1197" t="s">
        <v>868</v>
      </c>
      <c r="E318" s="1094"/>
      <c r="F318" s="1072">
        <f t="shared" si="4"/>
        <v>0</v>
      </c>
    </row>
    <row r="319" spans="1:6" ht="14.25">
      <c r="A319" s="1204" t="s">
        <v>664</v>
      </c>
      <c r="B319" s="1195" t="s">
        <v>685</v>
      </c>
      <c r="C319" s="1206">
        <v>566.18</v>
      </c>
      <c r="D319" s="1197" t="s">
        <v>868</v>
      </c>
      <c r="E319" s="1094"/>
      <c r="F319" s="1072">
        <f t="shared" si="4"/>
        <v>0</v>
      </c>
    </row>
    <row r="320" spans="1:6" ht="14.25">
      <c r="A320" s="1273" t="s">
        <v>665</v>
      </c>
      <c r="B320" s="1274" t="s">
        <v>686</v>
      </c>
      <c r="C320" s="1275">
        <v>1720.97</v>
      </c>
      <c r="D320" s="1276" t="s">
        <v>835</v>
      </c>
      <c r="E320" s="1100"/>
      <c r="F320" s="1072">
        <f t="shared" si="4"/>
        <v>0</v>
      </c>
    </row>
    <row r="321" spans="1:6" ht="14.25">
      <c r="A321" s="1204" t="s">
        <v>666</v>
      </c>
      <c r="B321" s="1195" t="s">
        <v>687</v>
      </c>
      <c r="C321" s="1206">
        <v>182.74</v>
      </c>
      <c r="D321" s="1197" t="s">
        <v>831</v>
      </c>
      <c r="E321" s="1094"/>
      <c r="F321" s="1072">
        <f t="shared" si="4"/>
        <v>0</v>
      </c>
    </row>
    <row r="322" spans="1:6" ht="28.5">
      <c r="A322" s="1204" t="s">
        <v>667</v>
      </c>
      <c r="B322" s="1195" t="s">
        <v>889</v>
      </c>
      <c r="C322" s="1206">
        <v>679.42</v>
      </c>
      <c r="D322" s="1197" t="s">
        <v>831</v>
      </c>
      <c r="E322" s="1094"/>
      <c r="F322" s="1072">
        <f t="shared" si="4"/>
        <v>0</v>
      </c>
    </row>
    <row r="323" spans="1:6" ht="28.5">
      <c r="A323" s="1204" t="s">
        <v>668</v>
      </c>
      <c r="B323" s="1195" t="s">
        <v>688</v>
      </c>
      <c r="C323" s="1206">
        <v>1600.55</v>
      </c>
      <c r="D323" s="1197" t="s">
        <v>832</v>
      </c>
      <c r="E323" s="1094"/>
      <c r="F323" s="1072">
        <f t="shared" si="4"/>
        <v>0</v>
      </c>
    </row>
    <row r="324" spans="1:6" ht="28.5">
      <c r="A324" s="1204" t="s">
        <v>669</v>
      </c>
      <c r="B324" s="1195" t="s">
        <v>896</v>
      </c>
      <c r="C324" s="1206">
        <v>1080.07</v>
      </c>
      <c r="D324" s="1197" t="s">
        <v>866</v>
      </c>
      <c r="E324" s="1094"/>
      <c r="F324" s="1072">
        <f t="shared" si="4"/>
        <v>0</v>
      </c>
    </row>
    <row r="325" spans="1:6" ht="12.75">
      <c r="A325" s="1208"/>
      <c r="B325" s="1233"/>
      <c r="C325" s="1206"/>
      <c r="D325" s="1197"/>
      <c r="E325" s="1097"/>
      <c r="F325" s="1072">
        <f t="shared" si="4"/>
        <v>0</v>
      </c>
    </row>
    <row r="326" spans="1:6" ht="12.75">
      <c r="A326" s="1249">
        <v>3</v>
      </c>
      <c r="B326" s="1219" t="s">
        <v>672</v>
      </c>
      <c r="C326" s="1206"/>
      <c r="D326" s="1197"/>
      <c r="E326" s="1097"/>
      <c r="F326" s="1072">
        <f t="shared" si="4"/>
        <v>0</v>
      </c>
    </row>
    <row r="327" spans="1:6" ht="14.25">
      <c r="A327" s="1208">
        <v>3.1</v>
      </c>
      <c r="B327" s="1231" t="s">
        <v>734</v>
      </c>
      <c r="C327" s="1206">
        <v>492.04</v>
      </c>
      <c r="D327" s="1197" t="s">
        <v>20</v>
      </c>
      <c r="E327" s="1097"/>
      <c r="F327" s="1072">
        <f t="shared" si="4"/>
        <v>0</v>
      </c>
    </row>
    <row r="328" spans="1:6" ht="14.25">
      <c r="A328" s="1208">
        <v>3.2</v>
      </c>
      <c r="B328" s="1231" t="s">
        <v>735</v>
      </c>
      <c r="C328" s="1206">
        <v>2170.71</v>
      </c>
      <c r="D328" s="1197" t="s">
        <v>20</v>
      </c>
      <c r="E328" s="1097"/>
      <c r="F328" s="1072">
        <f t="shared" si="4"/>
        <v>0</v>
      </c>
    </row>
    <row r="329" spans="1:6" ht="12.75">
      <c r="A329" s="1249"/>
      <c r="B329" s="1233"/>
      <c r="C329" s="1206"/>
      <c r="D329" s="1197"/>
      <c r="E329" s="1097"/>
      <c r="F329" s="1072">
        <f t="shared" si="4"/>
        <v>0</v>
      </c>
    </row>
    <row r="330" spans="1:6" ht="12.75">
      <c r="A330" s="1249">
        <v>4</v>
      </c>
      <c r="B330" s="1219" t="s">
        <v>660</v>
      </c>
      <c r="C330" s="1206"/>
      <c r="D330" s="1197"/>
      <c r="E330" s="1097"/>
      <c r="F330" s="1072">
        <f t="shared" si="4"/>
        <v>0</v>
      </c>
    </row>
    <row r="331" spans="1:6" ht="14.25">
      <c r="A331" s="1208">
        <v>4.1</v>
      </c>
      <c r="B331" s="1231" t="s">
        <v>739</v>
      </c>
      <c r="C331" s="1206">
        <v>482.39</v>
      </c>
      <c r="D331" s="1197" t="s">
        <v>20</v>
      </c>
      <c r="E331" s="1070"/>
      <c r="F331" s="1072">
        <f t="shared" si="4"/>
        <v>0</v>
      </c>
    </row>
    <row r="332" spans="1:6" ht="14.25">
      <c r="A332" s="1208">
        <v>4.2</v>
      </c>
      <c r="B332" s="1231" t="s">
        <v>737</v>
      </c>
      <c r="C332" s="1206">
        <v>2128.15</v>
      </c>
      <c r="D332" s="1197" t="s">
        <v>20</v>
      </c>
      <c r="E332" s="1070"/>
      <c r="F332" s="1072">
        <f t="shared" si="4"/>
        <v>0</v>
      </c>
    </row>
    <row r="333" spans="1:6" ht="12.75">
      <c r="A333" s="1248"/>
      <c r="B333" s="1233"/>
      <c r="C333" s="1206"/>
      <c r="D333" s="1207"/>
      <c r="E333" s="1097"/>
      <c r="F333" s="1072">
        <f t="shared" si="4"/>
        <v>0</v>
      </c>
    </row>
    <row r="334" spans="1:6" ht="12.75">
      <c r="A334" s="1237">
        <v>5</v>
      </c>
      <c r="B334" s="1219" t="s">
        <v>655</v>
      </c>
      <c r="C334" s="1196"/>
      <c r="D334" s="1207"/>
      <c r="E334" s="1097"/>
      <c r="F334" s="1072">
        <f t="shared" si="4"/>
        <v>0</v>
      </c>
    </row>
    <row r="335" spans="1:6" ht="14.25">
      <c r="A335" s="1235">
        <v>5.1</v>
      </c>
      <c r="B335" s="1231" t="s">
        <v>739</v>
      </c>
      <c r="C335" s="1196">
        <v>482.39</v>
      </c>
      <c r="D335" s="1197" t="s">
        <v>20</v>
      </c>
      <c r="E335" s="1070"/>
      <c r="F335" s="1072">
        <f aca="true" t="shared" si="5" ref="F335:F398">+E335*C335</f>
        <v>0</v>
      </c>
    </row>
    <row r="336" spans="1:6" ht="14.25">
      <c r="A336" s="1235">
        <v>5.2</v>
      </c>
      <c r="B336" s="1231" t="s">
        <v>737</v>
      </c>
      <c r="C336" s="1196">
        <v>2128.15</v>
      </c>
      <c r="D336" s="1197" t="s">
        <v>20</v>
      </c>
      <c r="E336" s="1070"/>
      <c r="F336" s="1072">
        <f t="shared" si="5"/>
        <v>0</v>
      </c>
    </row>
    <row r="337" spans="1:6" ht="12.75">
      <c r="A337" s="1237"/>
      <c r="B337" s="1233"/>
      <c r="C337" s="1196"/>
      <c r="D337" s="1207"/>
      <c r="E337" s="1097"/>
      <c r="F337" s="1072">
        <f t="shared" si="5"/>
        <v>0</v>
      </c>
    </row>
    <row r="338" spans="1:6" s="1084" customFormat="1" ht="12.75">
      <c r="A338" s="1234">
        <v>6</v>
      </c>
      <c r="B338" s="1219" t="s">
        <v>745</v>
      </c>
      <c r="C338" s="1196"/>
      <c r="D338" s="1207"/>
      <c r="E338" s="1097"/>
      <c r="F338" s="1072">
        <f t="shared" si="5"/>
        <v>0</v>
      </c>
    </row>
    <row r="339" spans="1:6" s="1084" customFormat="1" ht="14.25">
      <c r="A339" s="1230">
        <v>6.1</v>
      </c>
      <c r="B339" s="1205" t="s">
        <v>752</v>
      </c>
      <c r="C339" s="1196">
        <v>1</v>
      </c>
      <c r="D339" s="1207" t="s">
        <v>714</v>
      </c>
      <c r="E339" s="1101"/>
      <c r="F339" s="1072">
        <f t="shared" si="5"/>
        <v>0</v>
      </c>
    </row>
    <row r="340" spans="1:6" s="1084" customFormat="1" ht="14.25">
      <c r="A340" s="1230">
        <v>6.2</v>
      </c>
      <c r="B340" s="1205" t="s">
        <v>858</v>
      </c>
      <c r="C340" s="1196">
        <v>1</v>
      </c>
      <c r="D340" s="1207" t="s">
        <v>714</v>
      </c>
      <c r="E340" s="1101"/>
      <c r="F340" s="1072">
        <f t="shared" si="5"/>
        <v>0</v>
      </c>
    </row>
    <row r="341" spans="1:6" s="1084" customFormat="1" ht="14.25">
      <c r="A341" s="1230">
        <v>6.3</v>
      </c>
      <c r="B341" s="1205" t="s">
        <v>753</v>
      </c>
      <c r="C341" s="1196">
        <v>4</v>
      </c>
      <c r="D341" s="1207" t="s">
        <v>714</v>
      </c>
      <c r="E341" s="1101"/>
      <c r="F341" s="1072">
        <f t="shared" si="5"/>
        <v>0</v>
      </c>
    </row>
    <row r="342" spans="1:6" s="1084" customFormat="1" ht="14.25">
      <c r="A342" s="1230">
        <v>6.4</v>
      </c>
      <c r="B342" s="1205" t="s">
        <v>859</v>
      </c>
      <c r="C342" s="1196">
        <v>1</v>
      </c>
      <c r="D342" s="1207" t="s">
        <v>714</v>
      </c>
      <c r="E342" s="1101"/>
      <c r="F342" s="1072">
        <f t="shared" si="5"/>
        <v>0</v>
      </c>
    </row>
    <row r="343" spans="1:6" s="1084" customFormat="1" ht="14.25">
      <c r="A343" s="1230">
        <v>6.5</v>
      </c>
      <c r="B343" s="1205" t="s">
        <v>860</v>
      </c>
      <c r="C343" s="1196">
        <v>1</v>
      </c>
      <c r="D343" s="1207" t="s">
        <v>714</v>
      </c>
      <c r="E343" s="1101"/>
      <c r="F343" s="1072">
        <f t="shared" si="5"/>
        <v>0</v>
      </c>
    </row>
    <row r="344" spans="1:6" s="1084" customFormat="1" ht="14.25">
      <c r="A344" s="1230">
        <v>6.6</v>
      </c>
      <c r="B344" s="1205" t="s">
        <v>861</v>
      </c>
      <c r="C344" s="1196">
        <v>1</v>
      </c>
      <c r="D344" s="1207" t="s">
        <v>714</v>
      </c>
      <c r="E344" s="1101"/>
      <c r="F344" s="1072">
        <f t="shared" si="5"/>
        <v>0</v>
      </c>
    </row>
    <row r="345" spans="1:6" s="1084" customFormat="1" ht="14.25">
      <c r="A345" s="1230">
        <v>6.7</v>
      </c>
      <c r="B345" s="1205" t="s">
        <v>749</v>
      </c>
      <c r="C345" s="1196">
        <v>5</v>
      </c>
      <c r="D345" s="1207" t="s">
        <v>714</v>
      </c>
      <c r="E345" s="1101"/>
      <c r="F345" s="1072">
        <f t="shared" si="5"/>
        <v>0</v>
      </c>
    </row>
    <row r="346" spans="1:6" s="1084" customFormat="1" ht="14.25">
      <c r="A346" s="1230">
        <v>6.8</v>
      </c>
      <c r="B346" s="1205" t="s">
        <v>751</v>
      </c>
      <c r="C346" s="1196">
        <v>5</v>
      </c>
      <c r="D346" s="1207" t="s">
        <v>714</v>
      </c>
      <c r="E346" s="1101"/>
      <c r="F346" s="1072">
        <f t="shared" si="5"/>
        <v>0</v>
      </c>
    </row>
    <row r="347" spans="1:6" s="1084" customFormat="1" ht="14.25">
      <c r="A347" s="1230">
        <v>6.9</v>
      </c>
      <c r="B347" s="1231" t="s">
        <v>862</v>
      </c>
      <c r="C347" s="1196">
        <v>1</v>
      </c>
      <c r="D347" s="1207" t="s">
        <v>714</v>
      </c>
      <c r="E347" s="1101"/>
      <c r="F347" s="1072">
        <f t="shared" si="5"/>
        <v>0</v>
      </c>
    </row>
    <row r="348" spans="1:6" s="1084" customFormat="1" ht="14.25">
      <c r="A348" s="1277">
        <v>6.1</v>
      </c>
      <c r="B348" s="1231" t="s">
        <v>863</v>
      </c>
      <c r="C348" s="1196">
        <v>6</v>
      </c>
      <c r="D348" s="1207" t="s">
        <v>714</v>
      </c>
      <c r="E348" s="1101"/>
      <c r="F348" s="1072">
        <f t="shared" si="5"/>
        <v>0</v>
      </c>
    </row>
    <row r="349" spans="1:6" s="1084" customFormat="1" ht="14.25">
      <c r="A349" s="1278">
        <v>7.18</v>
      </c>
      <c r="B349" s="1168" t="s">
        <v>853</v>
      </c>
      <c r="C349" s="1184">
        <v>1</v>
      </c>
      <c r="D349" s="1166" t="s">
        <v>66</v>
      </c>
      <c r="E349" s="1101"/>
      <c r="F349" s="1072">
        <f t="shared" si="5"/>
        <v>0</v>
      </c>
    </row>
    <row r="350" spans="1:6" s="1084" customFormat="1" ht="14.25">
      <c r="A350" s="1277">
        <v>6.11</v>
      </c>
      <c r="B350" s="1205" t="s">
        <v>690</v>
      </c>
      <c r="C350" s="1196">
        <v>26</v>
      </c>
      <c r="D350" s="1207" t="s">
        <v>714</v>
      </c>
      <c r="E350" s="1101"/>
      <c r="F350" s="1072">
        <f t="shared" si="5"/>
        <v>0</v>
      </c>
    </row>
    <row r="351" spans="1:6" s="1084" customFormat="1" ht="12.75">
      <c r="A351" s="1230"/>
      <c r="B351" s="1041"/>
      <c r="C351" s="1196"/>
      <c r="D351" s="1207"/>
      <c r="E351" s="1071"/>
      <c r="F351" s="1072">
        <f t="shared" si="5"/>
        <v>0</v>
      </c>
    </row>
    <row r="352" spans="1:6" s="1084" customFormat="1" ht="12.75">
      <c r="A352" s="1218">
        <v>7</v>
      </c>
      <c r="B352" s="1155" t="s">
        <v>620</v>
      </c>
      <c r="C352" s="1182"/>
      <c r="D352" s="1154"/>
      <c r="E352" s="1071"/>
      <c r="F352" s="1072">
        <f t="shared" si="5"/>
        <v>0</v>
      </c>
    </row>
    <row r="353" spans="1:6" s="1084" customFormat="1" ht="14.25">
      <c r="A353" s="1198">
        <v>7.1</v>
      </c>
      <c r="B353" s="1170" t="s">
        <v>754</v>
      </c>
      <c r="C353" s="1184">
        <v>4</v>
      </c>
      <c r="D353" s="1166" t="s">
        <v>714</v>
      </c>
      <c r="E353" s="1071"/>
      <c r="F353" s="1072">
        <f t="shared" si="5"/>
        <v>0</v>
      </c>
    </row>
    <row r="354" spans="1:6" s="1084" customFormat="1" ht="14.25">
      <c r="A354" s="1198">
        <v>7.2</v>
      </c>
      <c r="B354" s="1170" t="s">
        <v>755</v>
      </c>
      <c r="C354" s="1184">
        <v>1</v>
      </c>
      <c r="D354" s="1166" t="s">
        <v>714</v>
      </c>
      <c r="E354" s="1071"/>
      <c r="F354" s="1072">
        <f t="shared" si="5"/>
        <v>0</v>
      </c>
    </row>
    <row r="355" spans="1:6" s="1084" customFormat="1" ht="14.25">
      <c r="A355" s="1279">
        <v>7.3</v>
      </c>
      <c r="B355" s="1170" t="s">
        <v>756</v>
      </c>
      <c r="C355" s="1184">
        <v>1</v>
      </c>
      <c r="D355" s="1166" t="s">
        <v>714</v>
      </c>
      <c r="E355" s="1071"/>
      <c r="F355" s="1072">
        <f t="shared" si="5"/>
        <v>0</v>
      </c>
    </row>
    <row r="356" spans="1:6" ht="12.75">
      <c r="A356" s="1279"/>
      <c r="B356" s="1152"/>
      <c r="C356" s="1182"/>
      <c r="D356" s="1280"/>
      <c r="E356" s="1071"/>
      <c r="F356" s="1072">
        <f t="shared" si="5"/>
        <v>0</v>
      </c>
    </row>
    <row r="357" spans="1:6" ht="12.75">
      <c r="A357" s="1237">
        <v>8</v>
      </c>
      <c r="B357" s="1219" t="s">
        <v>674</v>
      </c>
      <c r="C357" s="1196"/>
      <c r="D357" s="1281"/>
      <c r="E357" s="1071"/>
      <c r="F357" s="1072">
        <f t="shared" si="5"/>
        <v>0</v>
      </c>
    </row>
    <row r="358" spans="1:6" ht="14.25">
      <c r="A358" s="1235">
        <v>8.1</v>
      </c>
      <c r="B358" s="1195" t="s">
        <v>741</v>
      </c>
      <c r="C358" s="1196">
        <v>1</v>
      </c>
      <c r="D358" s="1207" t="s">
        <v>714</v>
      </c>
      <c r="E358" s="1071"/>
      <c r="F358" s="1072">
        <f t="shared" si="5"/>
        <v>0</v>
      </c>
    </row>
    <row r="359" spans="1:6" ht="14.25">
      <c r="A359" s="1235">
        <v>8.2</v>
      </c>
      <c r="B359" s="1195" t="s">
        <v>742</v>
      </c>
      <c r="C359" s="1196">
        <v>1</v>
      </c>
      <c r="D359" s="1207" t="s">
        <v>714</v>
      </c>
      <c r="E359" s="1094"/>
      <c r="F359" s="1072">
        <f t="shared" si="5"/>
        <v>0</v>
      </c>
    </row>
    <row r="360" spans="1:6" ht="14.25">
      <c r="A360" s="1235">
        <v>8.3</v>
      </c>
      <c r="B360" s="1195" t="s">
        <v>712</v>
      </c>
      <c r="C360" s="1196">
        <v>2</v>
      </c>
      <c r="D360" s="1207" t="s">
        <v>714</v>
      </c>
      <c r="E360" s="1094"/>
      <c r="F360" s="1072">
        <f t="shared" si="5"/>
        <v>0</v>
      </c>
    </row>
    <row r="361" spans="1:6" ht="12.75">
      <c r="A361" s="1279"/>
      <c r="B361" s="1246"/>
      <c r="C361" s="1182"/>
      <c r="D361" s="1246"/>
      <c r="E361" s="1071"/>
      <c r="F361" s="1072">
        <f t="shared" si="5"/>
        <v>0</v>
      </c>
    </row>
    <row r="362" spans="1:6" s="1085" customFormat="1" ht="14.25">
      <c r="A362" s="1235">
        <v>9</v>
      </c>
      <c r="B362" s="1240" t="s">
        <v>708</v>
      </c>
      <c r="C362" s="1196">
        <v>265</v>
      </c>
      <c r="D362" s="1207" t="s">
        <v>714</v>
      </c>
      <c r="E362" s="1071"/>
      <c r="F362" s="1072">
        <f t="shared" si="5"/>
        <v>0</v>
      </c>
    </row>
    <row r="363" spans="1:6" s="1085" customFormat="1" ht="14.25">
      <c r="A363" s="1235"/>
      <c r="B363" s="1240"/>
      <c r="C363" s="1196"/>
      <c r="D363" s="1207"/>
      <c r="E363" s="1071"/>
      <c r="F363" s="1072">
        <f t="shared" si="5"/>
        <v>0</v>
      </c>
    </row>
    <row r="364" spans="1:6" ht="28.5">
      <c r="A364" s="1214">
        <v>10</v>
      </c>
      <c r="B364" s="1172" t="s">
        <v>698</v>
      </c>
      <c r="C364" s="1215">
        <v>2610.54</v>
      </c>
      <c r="D364" s="1174" t="s">
        <v>20</v>
      </c>
      <c r="E364" s="1102"/>
      <c r="F364" s="1072">
        <f t="shared" si="5"/>
        <v>0</v>
      </c>
    </row>
    <row r="365" spans="1:6" ht="57">
      <c r="A365" s="1213">
        <v>11</v>
      </c>
      <c r="B365" s="1160" t="s">
        <v>902</v>
      </c>
      <c r="C365" s="1184">
        <v>2610.54</v>
      </c>
      <c r="D365" s="1166" t="s">
        <v>20</v>
      </c>
      <c r="E365" s="1086"/>
      <c r="F365" s="1072">
        <f t="shared" si="5"/>
        <v>0</v>
      </c>
    </row>
    <row r="366" spans="1:6" s="1085" customFormat="1" ht="14.25">
      <c r="A366" s="1204"/>
      <c r="B366" s="1240"/>
      <c r="C366" s="1241"/>
      <c r="D366" s="1207"/>
      <c r="E366" s="1071"/>
      <c r="F366" s="1072">
        <f t="shared" si="5"/>
        <v>0</v>
      </c>
    </row>
    <row r="367" spans="1:6" ht="28.5">
      <c r="A367" s="1183">
        <v>12</v>
      </c>
      <c r="B367" s="1163" t="s">
        <v>706</v>
      </c>
      <c r="C367" s="1184">
        <v>2610.54</v>
      </c>
      <c r="D367" s="1150" t="s">
        <v>20</v>
      </c>
      <c r="E367" s="1086"/>
      <c r="F367" s="1072">
        <f t="shared" si="5"/>
        <v>0</v>
      </c>
    </row>
    <row r="368" spans="1:6" s="1103" customFormat="1" ht="12.75">
      <c r="A368" s="1282"/>
      <c r="B368" s="1283" t="s">
        <v>635</v>
      </c>
      <c r="C368" s="1284"/>
      <c r="D368" s="1244"/>
      <c r="E368" s="1089"/>
      <c r="F368" s="1090">
        <f>SUM(F312:F367)</f>
        <v>0</v>
      </c>
    </row>
    <row r="369" spans="1:6" ht="12" customHeight="1">
      <c r="A369" s="1279"/>
      <c r="B369" s="1246"/>
      <c r="C369" s="1182"/>
      <c r="D369" s="1246"/>
      <c r="E369" s="1071"/>
      <c r="F369" s="1072"/>
    </row>
    <row r="370" spans="1:6" ht="12" customHeight="1">
      <c r="A370" s="1037" t="s">
        <v>637</v>
      </c>
      <c r="B370" s="1038" t="s">
        <v>762</v>
      </c>
      <c r="C370" s="1039"/>
      <c r="D370" s="1040"/>
      <c r="E370" s="1104"/>
      <c r="F370" s="1072">
        <f t="shared" si="5"/>
        <v>0</v>
      </c>
    </row>
    <row r="371" spans="1:6" ht="12" customHeight="1">
      <c r="A371" s="1285"/>
      <c r="B371" s="1286"/>
      <c r="C371" s="1287"/>
      <c r="D371" s="1197"/>
      <c r="E371" s="1071"/>
      <c r="F371" s="1072">
        <f t="shared" si="5"/>
        <v>0</v>
      </c>
    </row>
    <row r="372" spans="1:6" ht="12" customHeight="1">
      <c r="A372" s="1285">
        <v>1</v>
      </c>
      <c r="B372" s="1268" t="s">
        <v>680</v>
      </c>
      <c r="C372" s="1287">
        <v>1</v>
      </c>
      <c r="D372" s="1197" t="s">
        <v>66</v>
      </c>
      <c r="E372" s="1071"/>
      <c r="F372" s="1072">
        <f t="shared" si="5"/>
        <v>0</v>
      </c>
    </row>
    <row r="373" spans="1:6" ht="42.75">
      <c r="A373" s="1285">
        <v>2</v>
      </c>
      <c r="B373" s="1268" t="s">
        <v>763</v>
      </c>
      <c r="C373" s="1287">
        <v>1</v>
      </c>
      <c r="D373" s="1197" t="s">
        <v>66</v>
      </c>
      <c r="E373" s="1071"/>
      <c r="F373" s="1072">
        <f t="shared" si="5"/>
        <v>0</v>
      </c>
    </row>
    <row r="374" spans="1:6" ht="12" customHeight="1">
      <c r="A374" s="1285"/>
      <c r="B374" s="1286"/>
      <c r="C374" s="1287"/>
      <c r="D374" s="1197"/>
      <c r="E374" s="1071"/>
      <c r="F374" s="1072">
        <f t="shared" si="5"/>
        <v>0</v>
      </c>
    </row>
    <row r="375" spans="1:6" ht="18" customHeight="1">
      <c r="A375" s="1237">
        <v>3</v>
      </c>
      <c r="B375" s="1288" t="s">
        <v>837</v>
      </c>
      <c r="C375" s="1289"/>
      <c r="D375" s="1290"/>
      <c r="E375" s="1073"/>
      <c r="F375" s="1072">
        <f t="shared" si="5"/>
        <v>0</v>
      </c>
    </row>
    <row r="376" spans="1:6" ht="16.5">
      <c r="A376" s="1285">
        <v>3.1</v>
      </c>
      <c r="B376" s="1268" t="s">
        <v>838</v>
      </c>
      <c r="C376" s="1287">
        <v>1.45</v>
      </c>
      <c r="D376" s="1197" t="s">
        <v>839</v>
      </c>
      <c r="E376" s="1071"/>
      <c r="F376" s="1072">
        <f t="shared" si="5"/>
        <v>0</v>
      </c>
    </row>
    <row r="377" spans="1:6" ht="30.75">
      <c r="A377" s="1285">
        <v>3.2</v>
      </c>
      <c r="B377" s="1268" t="s">
        <v>840</v>
      </c>
      <c r="C377" s="1041">
        <v>0.32</v>
      </c>
      <c r="D377" s="1197" t="s">
        <v>839</v>
      </c>
      <c r="E377" s="1071"/>
      <c r="F377" s="1072">
        <f t="shared" si="5"/>
        <v>0</v>
      </c>
    </row>
    <row r="378" spans="1:6" ht="30.75">
      <c r="A378" s="1285">
        <v>3.3</v>
      </c>
      <c r="B378" s="1268" t="s">
        <v>841</v>
      </c>
      <c r="C378" s="1041">
        <v>0.18</v>
      </c>
      <c r="D378" s="1197" t="s">
        <v>839</v>
      </c>
      <c r="E378" s="1071"/>
      <c r="F378" s="1072">
        <f t="shared" si="5"/>
        <v>0</v>
      </c>
    </row>
    <row r="379" spans="1:6" ht="16.5">
      <c r="A379" s="1285">
        <v>3.4</v>
      </c>
      <c r="B379" s="1268" t="s">
        <v>842</v>
      </c>
      <c r="C379" s="1041">
        <v>0.12</v>
      </c>
      <c r="D379" s="1197" t="s">
        <v>839</v>
      </c>
      <c r="E379" s="1071"/>
      <c r="F379" s="1072">
        <f t="shared" si="5"/>
        <v>0</v>
      </c>
    </row>
    <row r="380" spans="1:6" ht="16.5">
      <c r="A380" s="1285">
        <v>3.5</v>
      </c>
      <c r="B380" s="1268" t="s">
        <v>843</v>
      </c>
      <c r="C380" s="1041">
        <v>0.37</v>
      </c>
      <c r="D380" s="1197" t="s">
        <v>839</v>
      </c>
      <c r="E380" s="1071"/>
      <c r="F380" s="1072">
        <f t="shared" si="5"/>
        <v>0</v>
      </c>
    </row>
    <row r="381" spans="1:6" ht="16.5">
      <c r="A381" s="1285">
        <v>3.6</v>
      </c>
      <c r="B381" s="1268" t="s">
        <v>844</v>
      </c>
      <c r="C381" s="1041">
        <v>0.12</v>
      </c>
      <c r="D381" s="1197" t="s">
        <v>839</v>
      </c>
      <c r="E381" s="1071"/>
      <c r="F381" s="1072">
        <f t="shared" si="5"/>
        <v>0</v>
      </c>
    </row>
    <row r="382" spans="1:6" ht="16.5">
      <c r="A382" s="1285">
        <v>3.7</v>
      </c>
      <c r="B382" s="1268" t="s">
        <v>845</v>
      </c>
      <c r="C382" s="1041">
        <v>0.81</v>
      </c>
      <c r="D382" s="1197" t="s">
        <v>839</v>
      </c>
      <c r="E382" s="1071"/>
      <c r="F382" s="1072">
        <f t="shared" si="5"/>
        <v>0</v>
      </c>
    </row>
    <row r="383" spans="1:6" ht="12" customHeight="1">
      <c r="A383" s="1285"/>
      <c r="B383" s="1286"/>
      <c r="C383" s="1287"/>
      <c r="D383" s="1197"/>
      <c r="E383" s="1071"/>
      <c r="F383" s="1072">
        <f t="shared" si="5"/>
        <v>0</v>
      </c>
    </row>
    <row r="384" spans="1:6" ht="12" customHeight="1">
      <c r="A384" s="1237">
        <v>4</v>
      </c>
      <c r="B384" s="1288" t="s">
        <v>764</v>
      </c>
      <c r="C384" s="1289"/>
      <c r="D384" s="1290"/>
      <c r="E384" s="1073"/>
      <c r="F384" s="1072">
        <f t="shared" si="5"/>
        <v>0</v>
      </c>
    </row>
    <row r="385" spans="1:6" ht="14.25">
      <c r="A385" s="1285">
        <v>4.1</v>
      </c>
      <c r="B385" s="1286" t="s">
        <v>816</v>
      </c>
      <c r="C385" s="1287">
        <v>4.24</v>
      </c>
      <c r="D385" s="1197" t="s">
        <v>846</v>
      </c>
      <c r="E385" s="1071"/>
      <c r="F385" s="1072">
        <f t="shared" si="5"/>
        <v>0</v>
      </c>
    </row>
    <row r="386" spans="1:6" ht="14.25">
      <c r="A386" s="1285">
        <v>4.2</v>
      </c>
      <c r="B386" s="1286" t="s">
        <v>815</v>
      </c>
      <c r="C386" s="1287">
        <v>22.69</v>
      </c>
      <c r="D386" s="1197" t="s">
        <v>846</v>
      </c>
      <c r="E386" s="1071"/>
      <c r="F386" s="1072">
        <f t="shared" si="5"/>
        <v>0</v>
      </c>
    </row>
    <row r="387" spans="1:6" ht="14.25">
      <c r="A387" s="1285">
        <v>4.3</v>
      </c>
      <c r="B387" s="1286" t="s">
        <v>814</v>
      </c>
      <c r="C387" s="1287">
        <v>3.53</v>
      </c>
      <c r="D387" s="1197" t="s">
        <v>846</v>
      </c>
      <c r="E387" s="1071"/>
      <c r="F387" s="1072">
        <f t="shared" si="5"/>
        <v>0</v>
      </c>
    </row>
    <row r="388" spans="1:6" ht="12" customHeight="1">
      <c r="A388" s="1285"/>
      <c r="B388" s="1286"/>
      <c r="C388" s="1287"/>
      <c r="D388" s="1197"/>
      <c r="E388" s="1071"/>
      <c r="F388" s="1072">
        <f t="shared" si="5"/>
        <v>0</v>
      </c>
    </row>
    <row r="389" spans="1:6" ht="12" customHeight="1">
      <c r="A389" s="1291">
        <v>5</v>
      </c>
      <c r="B389" s="1288" t="s">
        <v>765</v>
      </c>
      <c r="C389" s="1289"/>
      <c r="D389" s="1290"/>
      <c r="E389" s="1073"/>
      <c r="F389" s="1072">
        <f t="shared" si="5"/>
        <v>0</v>
      </c>
    </row>
    <row r="390" spans="1:6" ht="14.25">
      <c r="A390" s="1285">
        <v>5.1</v>
      </c>
      <c r="B390" s="1268" t="s">
        <v>766</v>
      </c>
      <c r="C390" s="1287">
        <v>9.77</v>
      </c>
      <c r="D390" s="1197" t="s">
        <v>846</v>
      </c>
      <c r="E390" s="1071"/>
      <c r="F390" s="1072">
        <f t="shared" si="5"/>
        <v>0</v>
      </c>
    </row>
    <row r="391" spans="1:6" ht="14.25">
      <c r="A391" s="1285">
        <v>5.2</v>
      </c>
      <c r="B391" s="1268" t="s">
        <v>767</v>
      </c>
      <c r="C391" s="1287">
        <v>26.04</v>
      </c>
      <c r="D391" s="1197" t="s">
        <v>846</v>
      </c>
      <c r="E391" s="1071"/>
      <c r="F391" s="1072">
        <f t="shared" si="5"/>
        <v>0</v>
      </c>
    </row>
    <row r="392" spans="1:6" ht="14.25">
      <c r="A392" s="1285">
        <v>5.3</v>
      </c>
      <c r="B392" s="1268" t="s">
        <v>768</v>
      </c>
      <c r="C392" s="1287">
        <v>25.5</v>
      </c>
      <c r="D392" s="1197" t="s">
        <v>846</v>
      </c>
      <c r="E392" s="1071"/>
      <c r="F392" s="1072">
        <f t="shared" si="5"/>
        <v>0</v>
      </c>
    </row>
    <row r="393" spans="1:6" ht="14.25">
      <c r="A393" s="1285">
        <v>5.4</v>
      </c>
      <c r="B393" s="1268" t="s">
        <v>769</v>
      </c>
      <c r="C393" s="1287">
        <v>9.62</v>
      </c>
      <c r="D393" s="1197" t="s">
        <v>846</v>
      </c>
      <c r="E393" s="1071"/>
      <c r="F393" s="1072">
        <f t="shared" si="5"/>
        <v>0</v>
      </c>
    </row>
    <row r="394" spans="1:6" ht="14.25">
      <c r="A394" s="1285">
        <v>5.5</v>
      </c>
      <c r="B394" s="1268" t="s">
        <v>770</v>
      </c>
      <c r="C394" s="1287">
        <v>51.54</v>
      </c>
      <c r="D394" s="1197" t="s">
        <v>846</v>
      </c>
      <c r="E394" s="1071"/>
      <c r="F394" s="1072">
        <f t="shared" si="5"/>
        <v>0</v>
      </c>
    </row>
    <row r="395" spans="1:6" ht="14.25">
      <c r="A395" s="1285">
        <v>5.6</v>
      </c>
      <c r="B395" s="1268" t="s">
        <v>771</v>
      </c>
      <c r="C395" s="1287">
        <v>35.6</v>
      </c>
      <c r="D395" s="1197" t="s">
        <v>20</v>
      </c>
      <c r="E395" s="1071"/>
      <c r="F395" s="1072">
        <f t="shared" si="5"/>
        <v>0</v>
      </c>
    </row>
    <row r="396" spans="1:6" ht="14.25">
      <c r="A396" s="1285">
        <v>5.7</v>
      </c>
      <c r="B396" s="1268" t="s">
        <v>772</v>
      </c>
      <c r="C396" s="1287">
        <v>10.6</v>
      </c>
      <c r="D396" s="1197" t="s">
        <v>20</v>
      </c>
      <c r="E396" s="1071"/>
      <c r="F396" s="1072">
        <f t="shared" si="5"/>
        <v>0</v>
      </c>
    </row>
    <row r="397" spans="1:6" ht="14.25">
      <c r="A397" s="1285">
        <v>5.8</v>
      </c>
      <c r="B397" s="1268" t="s">
        <v>773</v>
      </c>
      <c r="C397" s="1287">
        <v>10</v>
      </c>
      <c r="D397" s="1197" t="s">
        <v>20</v>
      </c>
      <c r="E397" s="1071"/>
      <c r="F397" s="1072">
        <f t="shared" si="5"/>
        <v>0</v>
      </c>
    </row>
    <row r="398" spans="1:6" ht="14.25">
      <c r="A398" s="1285">
        <v>5.9</v>
      </c>
      <c r="B398" s="1292" t="s">
        <v>774</v>
      </c>
      <c r="C398" s="1041">
        <v>6.02</v>
      </c>
      <c r="D398" s="1197" t="s">
        <v>20</v>
      </c>
      <c r="E398" s="1071"/>
      <c r="F398" s="1072">
        <f t="shared" si="5"/>
        <v>0</v>
      </c>
    </row>
    <row r="399" spans="1:6" ht="14.25">
      <c r="A399" s="1293">
        <v>5.1</v>
      </c>
      <c r="B399" s="1292" t="s">
        <v>775</v>
      </c>
      <c r="C399" s="1041">
        <v>9.62</v>
      </c>
      <c r="D399" s="1197" t="s">
        <v>8</v>
      </c>
      <c r="E399" s="1071"/>
      <c r="F399" s="1072">
        <f aca="true" t="shared" si="6" ref="F399:F462">+E399*C399</f>
        <v>0</v>
      </c>
    </row>
    <row r="400" spans="1:6" ht="14.25">
      <c r="A400" s="1285"/>
      <c r="B400" s="1294"/>
      <c r="C400" s="1041"/>
      <c r="D400" s="1197"/>
      <c r="E400" s="1071"/>
      <c r="F400" s="1072">
        <f t="shared" si="6"/>
        <v>0</v>
      </c>
    </row>
    <row r="401" spans="1:6" ht="28.5">
      <c r="A401" s="1285">
        <v>6</v>
      </c>
      <c r="B401" s="1268" t="s">
        <v>776</v>
      </c>
      <c r="C401" s="1287">
        <v>6</v>
      </c>
      <c r="D401" s="1197" t="s">
        <v>846</v>
      </c>
      <c r="E401" s="1071"/>
      <c r="F401" s="1072">
        <f t="shared" si="6"/>
        <v>0</v>
      </c>
    </row>
    <row r="402" spans="1:6" s="1105" customFormat="1" ht="14.25">
      <c r="A402" s="1285"/>
      <c r="B402" s="1268"/>
      <c r="C402" s="1287"/>
      <c r="D402" s="1197"/>
      <c r="E402" s="1071"/>
      <c r="F402" s="1072">
        <f t="shared" si="6"/>
        <v>0</v>
      </c>
    </row>
    <row r="403" spans="1:6" s="1106" customFormat="1" ht="14.25">
      <c r="A403" s="1285">
        <v>7</v>
      </c>
      <c r="B403" s="1268" t="s">
        <v>777</v>
      </c>
      <c r="C403" s="1287">
        <v>8.96</v>
      </c>
      <c r="D403" s="1197" t="s">
        <v>846</v>
      </c>
      <c r="E403" s="1071"/>
      <c r="F403" s="1072">
        <f t="shared" si="6"/>
        <v>0</v>
      </c>
    </row>
    <row r="404" spans="1:6" ht="14.25">
      <c r="A404" s="1285"/>
      <c r="B404" s="1268"/>
      <c r="C404" s="1287"/>
      <c r="D404" s="1197"/>
      <c r="E404" s="1071"/>
      <c r="F404" s="1072">
        <f t="shared" si="6"/>
        <v>0</v>
      </c>
    </row>
    <row r="405" spans="1:6" ht="12.75">
      <c r="A405" s="1237">
        <v>8</v>
      </c>
      <c r="B405" s="1234" t="s">
        <v>778</v>
      </c>
      <c r="C405" s="1287"/>
      <c r="D405" s="1197"/>
      <c r="E405" s="1071"/>
      <c r="F405" s="1072">
        <f t="shared" si="6"/>
        <v>0</v>
      </c>
    </row>
    <row r="406" spans="1:6" ht="14.25">
      <c r="A406" s="1285">
        <v>8.1</v>
      </c>
      <c r="B406" s="1295" t="s">
        <v>779</v>
      </c>
      <c r="C406" s="1287">
        <v>15.8</v>
      </c>
      <c r="D406" s="1197" t="s">
        <v>20</v>
      </c>
      <c r="E406" s="1071"/>
      <c r="F406" s="1072">
        <f t="shared" si="6"/>
        <v>0</v>
      </c>
    </row>
    <row r="407" spans="1:6" ht="28.5">
      <c r="A407" s="1285">
        <v>8.2</v>
      </c>
      <c r="B407" s="1268" t="s">
        <v>890</v>
      </c>
      <c r="C407" s="1287">
        <v>1</v>
      </c>
      <c r="D407" s="1197" t="s">
        <v>714</v>
      </c>
      <c r="E407" s="1071"/>
      <c r="F407" s="1072">
        <f t="shared" si="6"/>
        <v>0</v>
      </c>
    </row>
    <row r="408" spans="1:6" ht="14.25">
      <c r="A408" s="1285">
        <v>8.3</v>
      </c>
      <c r="B408" s="1268" t="s">
        <v>891</v>
      </c>
      <c r="C408" s="1287">
        <v>1</v>
      </c>
      <c r="D408" s="1197" t="s">
        <v>714</v>
      </c>
      <c r="E408" s="1071"/>
      <c r="F408" s="1072">
        <f t="shared" si="6"/>
        <v>0</v>
      </c>
    </row>
    <row r="409" spans="1:6" ht="14.25">
      <c r="A409" s="1296"/>
      <c r="B409" s="1297"/>
      <c r="C409" s="1298"/>
      <c r="D409" s="1276"/>
      <c r="E409" s="1079"/>
      <c r="F409" s="1072">
        <f t="shared" si="6"/>
        <v>0</v>
      </c>
    </row>
    <row r="410" spans="1:6" ht="12.75">
      <c r="A410" s="1237">
        <v>9</v>
      </c>
      <c r="B410" s="1299" t="s">
        <v>780</v>
      </c>
      <c r="C410" s="1041"/>
      <c r="D410" s="1300"/>
      <c r="E410" s="1107"/>
      <c r="F410" s="1072">
        <f t="shared" si="6"/>
        <v>0</v>
      </c>
    </row>
    <row r="411" spans="1:6" ht="28.5">
      <c r="A411" s="1285">
        <v>9.1</v>
      </c>
      <c r="B411" s="1286" t="s">
        <v>892</v>
      </c>
      <c r="C411" s="1041">
        <v>23.25</v>
      </c>
      <c r="D411" s="1300" t="s">
        <v>64</v>
      </c>
      <c r="E411" s="1107"/>
      <c r="F411" s="1072">
        <f t="shared" si="6"/>
        <v>0</v>
      </c>
    </row>
    <row r="412" spans="1:6" ht="14.25">
      <c r="A412" s="1301">
        <v>9.2</v>
      </c>
      <c r="B412" s="1268" t="s">
        <v>893</v>
      </c>
      <c r="C412" s="1287">
        <v>1</v>
      </c>
      <c r="D412" s="1197" t="s">
        <v>66</v>
      </c>
      <c r="E412" s="1071"/>
      <c r="F412" s="1072">
        <f t="shared" si="6"/>
        <v>0</v>
      </c>
    </row>
    <row r="413" spans="1:6" ht="14.25">
      <c r="A413" s="1285"/>
      <c r="B413" s="1268"/>
      <c r="C413" s="1287"/>
      <c r="D413" s="1197"/>
      <c r="E413" s="1071"/>
      <c r="F413" s="1072">
        <f t="shared" si="6"/>
        <v>0</v>
      </c>
    </row>
    <row r="414" spans="1:6" ht="12.75">
      <c r="A414" s="1291">
        <v>10</v>
      </c>
      <c r="B414" s="1288" t="s">
        <v>781</v>
      </c>
      <c r="C414" s="1289"/>
      <c r="D414" s="1290"/>
      <c r="E414" s="1073"/>
      <c r="F414" s="1072">
        <f t="shared" si="6"/>
        <v>0</v>
      </c>
    </row>
    <row r="415" spans="1:6" ht="14.25">
      <c r="A415" s="1301">
        <v>10.1</v>
      </c>
      <c r="B415" s="1268" t="s">
        <v>782</v>
      </c>
      <c r="C415" s="1287">
        <v>1</v>
      </c>
      <c r="D415" s="1197" t="s">
        <v>714</v>
      </c>
      <c r="E415" s="1071"/>
      <c r="F415" s="1072">
        <f t="shared" si="6"/>
        <v>0</v>
      </c>
    </row>
    <row r="416" spans="1:6" ht="14.25">
      <c r="A416" s="1301">
        <v>10.2</v>
      </c>
      <c r="B416" s="1268" t="s">
        <v>783</v>
      </c>
      <c r="C416" s="1287">
        <v>1</v>
      </c>
      <c r="D416" s="1197" t="s">
        <v>714</v>
      </c>
      <c r="E416" s="1071"/>
      <c r="F416" s="1072">
        <f t="shared" si="6"/>
        <v>0</v>
      </c>
    </row>
    <row r="417" spans="1:6" ht="14.25">
      <c r="A417" s="1301">
        <v>10.3</v>
      </c>
      <c r="B417" s="1292" t="s">
        <v>784</v>
      </c>
      <c r="C417" s="1302">
        <v>1</v>
      </c>
      <c r="D417" s="1197" t="s">
        <v>714</v>
      </c>
      <c r="E417" s="1071"/>
      <c r="F417" s="1072">
        <f t="shared" si="6"/>
        <v>0</v>
      </c>
    </row>
    <row r="418" spans="1:6" ht="14.25">
      <c r="A418" s="1301">
        <v>10.4</v>
      </c>
      <c r="B418" s="1268" t="s">
        <v>818</v>
      </c>
      <c r="C418" s="1287">
        <v>1</v>
      </c>
      <c r="D418" s="1197" t="s">
        <v>714</v>
      </c>
      <c r="E418" s="1071"/>
      <c r="F418" s="1072">
        <f t="shared" si="6"/>
        <v>0</v>
      </c>
    </row>
    <row r="419" spans="1:6" ht="14.25">
      <c r="A419" s="1301">
        <v>10.5</v>
      </c>
      <c r="B419" s="1268" t="s">
        <v>786</v>
      </c>
      <c r="C419" s="1287">
        <v>1</v>
      </c>
      <c r="D419" s="1197" t="s">
        <v>714</v>
      </c>
      <c r="E419" s="1071"/>
      <c r="F419" s="1072">
        <f t="shared" si="6"/>
        <v>0</v>
      </c>
    </row>
    <row r="420" spans="1:6" ht="14.25">
      <c r="A420" s="1301">
        <v>10.6</v>
      </c>
      <c r="B420" s="1268" t="s">
        <v>787</v>
      </c>
      <c r="C420" s="1287">
        <v>2</v>
      </c>
      <c r="D420" s="1197" t="s">
        <v>714</v>
      </c>
      <c r="E420" s="1071"/>
      <c r="F420" s="1072">
        <f t="shared" si="6"/>
        <v>0</v>
      </c>
    </row>
    <row r="421" spans="1:6" ht="14.25">
      <c r="A421" s="1301">
        <v>10.7</v>
      </c>
      <c r="B421" s="1268" t="s">
        <v>894</v>
      </c>
      <c r="C421" s="1302">
        <v>1</v>
      </c>
      <c r="D421" s="1197" t="s">
        <v>714</v>
      </c>
      <c r="E421" s="1071"/>
      <c r="F421" s="1072">
        <f t="shared" si="6"/>
        <v>0</v>
      </c>
    </row>
    <row r="422" spans="1:6" ht="14.25">
      <c r="A422" s="1301">
        <v>10.8</v>
      </c>
      <c r="B422" s="1268" t="s">
        <v>817</v>
      </c>
      <c r="C422" s="1302">
        <v>1</v>
      </c>
      <c r="D422" s="1197" t="s">
        <v>714</v>
      </c>
      <c r="E422" s="1071"/>
      <c r="F422" s="1072">
        <f t="shared" si="6"/>
        <v>0</v>
      </c>
    </row>
    <row r="423" spans="1:6" ht="14.25">
      <c r="A423" s="1301">
        <v>10.9</v>
      </c>
      <c r="B423" s="1268" t="s">
        <v>788</v>
      </c>
      <c r="C423" s="1287">
        <v>1</v>
      </c>
      <c r="D423" s="1197" t="s">
        <v>714</v>
      </c>
      <c r="E423" s="1071"/>
      <c r="F423" s="1072">
        <f t="shared" si="6"/>
        <v>0</v>
      </c>
    </row>
    <row r="424" spans="1:6" ht="14.25">
      <c r="A424" s="1293">
        <v>10.1</v>
      </c>
      <c r="B424" s="1268" t="s">
        <v>820</v>
      </c>
      <c r="C424" s="1287">
        <v>1</v>
      </c>
      <c r="D424" s="1197" t="s">
        <v>714</v>
      </c>
      <c r="E424" s="1071"/>
      <c r="F424" s="1072">
        <f t="shared" si="6"/>
        <v>0</v>
      </c>
    </row>
    <row r="425" spans="1:6" ht="14.25">
      <c r="A425" s="1293">
        <v>10.11</v>
      </c>
      <c r="B425" s="1292" t="s">
        <v>794</v>
      </c>
      <c r="C425" s="1041">
        <v>6.25</v>
      </c>
      <c r="D425" s="1197" t="s">
        <v>8</v>
      </c>
      <c r="E425" s="1071"/>
      <c r="F425" s="1072">
        <f t="shared" si="6"/>
        <v>0</v>
      </c>
    </row>
    <row r="426" spans="1:6" ht="14.25">
      <c r="A426" s="1293">
        <v>10.12</v>
      </c>
      <c r="B426" s="1268" t="s">
        <v>789</v>
      </c>
      <c r="C426" s="1287">
        <v>1</v>
      </c>
      <c r="D426" s="1197" t="s">
        <v>66</v>
      </c>
      <c r="E426" s="1071"/>
      <c r="F426" s="1072">
        <f t="shared" si="6"/>
        <v>0</v>
      </c>
    </row>
    <row r="427" spans="1:6" ht="14.25">
      <c r="A427" s="1293">
        <v>10.13</v>
      </c>
      <c r="B427" s="1268" t="s">
        <v>819</v>
      </c>
      <c r="C427" s="1287">
        <v>1</v>
      </c>
      <c r="D427" s="1197" t="s">
        <v>66</v>
      </c>
      <c r="E427" s="1071"/>
      <c r="F427" s="1072">
        <f t="shared" si="6"/>
        <v>0</v>
      </c>
    </row>
    <row r="428" spans="1:6" ht="14.25">
      <c r="A428" s="1293"/>
      <c r="B428" s="1268"/>
      <c r="C428" s="1287"/>
      <c r="D428" s="1197"/>
      <c r="E428" s="1071"/>
      <c r="F428" s="1072">
        <f t="shared" si="6"/>
        <v>0</v>
      </c>
    </row>
    <row r="429" spans="1:6" ht="12.75">
      <c r="A429" s="1237">
        <v>11</v>
      </c>
      <c r="B429" s="1234" t="s">
        <v>790</v>
      </c>
      <c r="C429" s="1289"/>
      <c r="D429" s="1290"/>
      <c r="E429" s="1073"/>
      <c r="F429" s="1072">
        <f t="shared" si="6"/>
        <v>0</v>
      </c>
    </row>
    <row r="430" spans="1:6" ht="14.25">
      <c r="A430" s="1285">
        <v>11.1</v>
      </c>
      <c r="B430" s="1268" t="s">
        <v>791</v>
      </c>
      <c r="C430" s="1287">
        <v>6</v>
      </c>
      <c r="D430" s="1197" t="s">
        <v>714</v>
      </c>
      <c r="E430" s="1071"/>
      <c r="F430" s="1072">
        <f t="shared" si="6"/>
        <v>0</v>
      </c>
    </row>
    <row r="431" spans="1:6" ht="14.25">
      <c r="A431" s="1285">
        <v>11.2</v>
      </c>
      <c r="B431" s="1268" t="s">
        <v>829</v>
      </c>
      <c r="C431" s="1287">
        <v>1</v>
      </c>
      <c r="D431" s="1197" t="s">
        <v>714</v>
      </c>
      <c r="E431" s="1071"/>
      <c r="F431" s="1072">
        <f t="shared" si="6"/>
        <v>0</v>
      </c>
    </row>
    <row r="432" spans="1:6" ht="14.25">
      <c r="A432" s="1285">
        <v>11.3</v>
      </c>
      <c r="B432" s="1268" t="s">
        <v>792</v>
      </c>
      <c r="C432" s="1287">
        <v>3</v>
      </c>
      <c r="D432" s="1197" t="s">
        <v>714</v>
      </c>
      <c r="E432" s="1071"/>
      <c r="F432" s="1072">
        <f t="shared" si="6"/>
        <v>0</v>
      </c>
    </row>
    <row r="433" spans="1:6" ht="14.25">
      <c r="A433" s="1285">
        <v>11.4</v>
      </c>
      <c r="B433" s="1268" t="s">
        <v>793</v>
      </c>
      <c r="C433" s="1287">
        <v>3</v>
      </c>
      <c r="D433" s="1197" t="s">
        <v>714</v>
      </c>
      <c r="E433" s="1071"/>
      <c r="F433" s="1072">
        <f t="shared" si="6"/>
        <v>0</v>
      </c>
    </row>
    <row r="434" spans="1:6" ht="14.25">
      <c r="A434" s="1285"/>
      <c r="B434" s="1268"/>
      <c r="C434" s="1303"/>
      <c r="D434" s="1197"/>
      <c r="E434" s="1071"/>
      <c r="F434" s="1072">
        <f t="shared" si="6"/>
        <v>0</v>
      </c>
    </row>
    <row r="435" spans="1:6" ht="15">
      <c r="A435" s="1304">
        <v>12</v>
      </c>
      <c r="B435" s="1305" t="s">
        <v>821</v>
      </c>
      <c r="C435" s="1306"/>
      <c r="D435" s="1307"/>
      <c r="E435" s="1108"/>
      <c r="F435" s="1072">
        <f t="shared" si="6"/>
        <v>0</v>
      </c>
    </row>
    <row r="436" spans="1:6" ht="14.25">
      <c r="A436" s="1308">
        <v>12.1</v>
      </c>
      <c r="B436" s="1309" t="s">
        <v>680</v>
      </c>
      <c r="C436" s="1310">
        <v>1</v>
      </c>
      <c r="D436" s="1311" t="s">
        <v>6</v>
      </c>
      <c r="E436" s="1109"/>
      <c r="F436" s="1072">
        <f t="shared" si="6"/>
        <v>0</v>
      </c>
    </row>
    <row r="437" spans="1:6" ht="14.25">
      <c r="A437" s="1309"/>
      <c r="B437" s="1309"/>
      <c r="C437" s="1310"/>
      <c r="D437" s="1311"/>
      <c r="E437" s="1109"/>
      <c r="F437" s="1072">
        <f t="shared" si="6"/>
        <v>0</v>
      </c>
    </row>
    <row r="438" spans="1:6" ht="15">
      <c r="A438" s="1312">
        <v>12.2</v>
      </c>
      <c r="B438" s="1305" t="s">
        <v>12</v>
      </c>
      <c r="C438" s="1310"/>
      <c r="D438" s="1311"/>
      <c r="E438" s="1109"/>
      <c r="F438" s="1072">
        <f t="shared" si="6"/>
        <v>0</v>
      </c>
    </row>
    <row r="439" spans="1:6" ht="14.25">
      <c r="A439" s="1308" t="s">
        <v>879</v>
      </c>
      <c r="B439" s="1313" t="s">
        <v>822</v>
      </c>
      <c r="C439" s="1314">
        <v>6.12</v>
      </c>
      <c r="D439" s="1315" t="s">
        <v>871</v>
      </c>
      <c r="E439" s="1110"/>
      <c r="F439" s="1072">
        <f t="shared" si="6"/>
        <v>0</v>
      </c>
    </row>
    <row r="440" spans="1:6" ht="28.5">
      <c r="A440" s="1308" t="s">
        <v>878</v>
      </c>
      <c r="B440" s="1316" t="s">
        <v>823</v>
      </c>
      <c r="C440" s="1314">
        <v>7.34</v>
      </c>
      <c r="D440" s="1315" t="s">
        <v>872</v>
      </c>
      <c r="E440" s="1110"/>
      <c r="F440" s="1072">
        <f t="shared" si="6"/>
        <v>0</v>
      </c>
    </row>
    <row r="441" spans="1:6" ht="15">
      <c r="A441" s="1309"/>
      <c r="B441" s="1304"/>
      <c r="C441" s="1317"/>
      <c r="D441" s="1311"/>
      <c r="E441" s="1109"/>
      <c r="F441" s="1072">
        <f t="shared" si="6"/>
        <v>0</v>
      </c>
    </row>
    <row r="442" spans="1:6" ht="15">
      <c r="A442" s="1304">
        <v>12.3</v>
      </c>
      <c r="B442" s="1305" t="s">
        <v>869</v>
      </c>
      <c r="C442" s="1310"/>
      <c r="D442" s="1311"/>
      <c r="E442" s="1109"/>
      <c r="F442" s="1072">
        <f t="shared" si="6"/>
        <v>0</v>
      </c>
    </row>
    <row r="443" spans="1:6" ht="15" customHeight="1">
      <c r="A443" s="1308" t="s">
        <v>880</v>
      </c>
      <c r="B443" s="1309" t="s">
        <v>824</v>
      </c>
      <c r="C443" s="1310">
        <v>3.06</v>
      </c>
      <c r="D443" s="1315" t="s">
        <v>873</v>
      </c>
      <c r="E443" s="1109"/>
      <c r="F443" s="1072">
        <f t="shared" si="6"/>
        <v>0</v>
      </c>
    </row>
    <row r="444" spans="1:6" ht="14.25">
      <c r="A444" s="1308" t="s">
        <v>881</v>
      </c>
      <c r="B444" s="1309" t="s">
        <v>825</v>
      </c>
      <c r="C444" s="1310">
        <v>3.06</v>
      </c>
      <c r="D444" s="1315" t="s">
        <v>874</v>
      </c>
      <c r="E444" s="1109"/>
      <c r="F444" s="1072">
        <f t="shared" si="6"/>
        <v>0</v>
      </c>
    </row>
    <row r="445" spans="1:6" ht="14.25">
      <c r="A445" s="1309"/>
      <c r="B445" s="1309"/>
      <c r="C445" s="1310"/>
      <c r="D445" s="1311"/>
      <c r="E445" s="1109"/>
      <c r="F445" s="1072">
        <f t="shared" si="6"/>
        <v>0</v>
      </c>
    </row>
    <row r="446" spans="1:6" ht="15">
      <c r="A446" s="1304">
        <v>12.4</v>
      </c>
      <c r="B446" s="1305" t="s">
        <v>870</v>
      </c>
      <c r="C446" s="1310"/>
      <c r="D446" s="1311"/>
      <c r="E446" s="1109"/>
      <c r="F446" s="1072">
        <f t="shared" si="6"/>
        <v>0</v>
      </c>
    </row>
    <row r="447" spans="1:6" ht="28.5">
      <c r="A447" s="1308" t="s">
        <v>882</v>
      </c>
      <c r="B447" s="1316" t="s">
        <v>826</v>
      </c>
      <c r="C447" s="1314">
        <v>10.51</v>
      </c>
      <c r="D447" s="1318" t="s">
        <v>20</v>
      </c>
      <c r="E447" s="1110"/>
      <c r="F447" s="1072">
        <f t="shared" si="6"/>
        <v>0</v>
      </c>
    </row>
    <row r="448" spans="1:6" ht="14.25">
      <c r="A448" s="1308" t="s">
        <v>883</v>
      </c>
      <c r="B448" s="1309" t="s">
        <v>875</v>
      </c>
      <c r="C448" s="1310">
        <v>4</v>
      </c>
      <c r="D448" s="1311" t="s">
        <v>714</v>
      </c>
      <c r="E448" s="1109"/>
      <c r="F448" s="1072">
        <f t="shared" si="6"/>
        <v>0</v>
      </c>
    </row>
    <row r="449" spans="1:6" ht="14.25">
      <c r="A449" s="1308" t="s">
        <v>884</v>
      </c>
      <c r="B449" s="1309" t="s">
        <v>876</v>
      </c>
      <c r="C449" s="1310">
        <v>2</v>
      </c>
      <c r="D449" s="1311" t="s">
        <v>714</v>
      </c>
      <c r="E449" s="1109"/>
      <c r="F449" s="1072">
        <f t="shared" si="6"/>
        <v>0</v>
      </c>
    </row>
    <row r="450" spans="1:6" ht="14.25">
      <c r="A450" s="1308" t="s">
        <v>885</v>
      </c>
      <c r="B450" s="1309" t="s">
        <v>827</v>
      </c>
      <c r="C450" s="1310">
        <v>6.12</v>
      </c>
      <c r="D450" s="1311" t="s">
        <v>804</v>
      </c>
      <c r="E450" s="1109"/>
      <c r="F450" s="1072">
        <f t="shared" si="6"/>
        <v>0</v>
      </c>
    </row>
    <row r="451" spans="1:6" ht="14.25">
      <c r="A451" s="1293"/>
      <c r="B451" s="1268"/>
      <c r="C451" s="1287"/>
      <c r="D451" s="1197"/>
      <c r="E451" s="1071"/>
      <c r="F451" s="1072">
        <f t="shared" si="6"/>
        <v>0</v>
      </c>
    </row>
    <row r="452" spans="1:6" ht="14.25">
      <c r="A452" s="1301">
        <v>12.5</v>
      </c>
      <c r="B452" s="1268" t="s">
        <v>785</v>
      </c>
      <c r="C452" s="1287">
        <v>1</v>
      </c>
      <c r="D452" s="1197" t="s">
        <v>714</v>
      </c>
      <c r="E452" s="1071"/>
      <c r="F452" s="1072">
        <f t="shared" si="6"/>
        <v>0</v>
      </c>
    </row>
    <row r="453" spans="1:6" ht="12.75">
      <c r="A453" s="1319"/>
      <c r="B453" s="1320" t="s">
        <v>639</v>
      </c>
      <c r="C453" s="1321"/>
      <c r="D453" s="1319"/>
      <c r="E453" s="1089"/>
      <c r="F453" s="1090">
        <f>SUM(F370:F452)</f>
        <v>0</v>
      </c>
    </row>
    <row r="454" spans="1:6" ht="12.75">
      <c r="A454" s="1281"/>
      <c r="B454" s="1281"/>
      <c r="C454" s="1196"/>
      <c r="D454" s="1281"/>
      <c r="E454" s="1071"/>
      <c r="F454" s="1072"/>
    </row>
    <row r="455" spans="1:6" ht="12.75">
      <c r="A455" s="1322" t="s">
        <v>619</v>
      </c>
      <c r="B455" s="1323" t="s">
        <v>811</v>
      </c>
      <c r="C455" s="1206"/>
      <c r="D455" s="1281"/>
      <c r="E455" s="1071"/>
      <c r="F455" s="1072">
        <f t="shared" si="6"/>
        <v>0</v>
      </c>
    </row>
    <row r="456" spans="1:6" ht="12.75">
      <c r="A456" s="1281"/>
      <c r="B456" s="1324"/>
      <c r="C456" s="1206"/>
      <c r="D456" s="1281"/>
      <c r="E456" s="1071"/>
      <c r="F456" s="1072">
        <f t="shared" si="6"/>
        <v>0</v>
      </c>
    </row>
    <row r="457" spans="1:6" ht="42.75">
      <c r="A457" s="1281">
        <v>1</v>
      </c>
      <c r="B457" s="1325" t="s">
        <v>886</v>
      </c>
      <c r="C457" s="1206">
        <v>1</v>
      </c>
      <c r="D457" s="1326" t="s">
        <v>66</v>
      </c>
      <c r="E457" s="1071"/>
      <c r="F457" s="1072">
        <f t="shared" si="6"/>
        <v>0</v>
      </c>
    </row>
    <row r="458" spans="1:6" ht="14.25">
      <c r="A458" s="1042"/>
      <c r="B458" s="1268"/>
      <c r="C458" s="1206"/>
      <c r="D458" s="1326"/>
      <c r="E458" s="1111"/>
      <c r="F458" s="1072">
        <f t="shared" si="6"/>
        <v>0</v>
      </c>
    </row>
    <row r="459" spans="1:6" ht="12.75">
      <c r="A459" s="1327">
        <v>2</v>
      </c>
      <c r="B459" s="1328" t="s">
        <v>231</v>
      </c>
      <c r="C459" s="1329"/>
      <c r="D459" s="1326"/>
      <c r="E459" s="1034"/>
      <c r="F459" s="1072">
        <f t="shared" si="6"/>
        <v>0</v>
      </c>
    </row>
    <row r="460" spans="1:6" ht="14.25">
      <c r="A460" s="1330">
        <v>2.1</v>
      </c>
      <c r="B460" s="1268" t="s">
        <v>680</v>
      </c>
      <c r="C460" s="1206">
        <v>129.6</v>
      </c>
      <c r="D460" s="1326" t="s">
        <v>20</v>
      </c>
      <c r="E460" s="1111"/>
      <c r="F460" s="1072">
        <f t="shared" si="6"/>
        <v>0</v>
      </c>
    </row>
    <row r="461" spans="1:6" ht="12.75">
      <c r="A461" s="1327"/>
      <c r="B461" s="1323"/>
      <c r="C461" s="1329"/>
      <c r="D461" s="1326"/>
      <c r="E461" s="1034"/>
      <c r="F461" s="1072">
        <f t="shared" si="6"/>
        <v>0</v>
      </c>
    </row>
    <row r="462" spans="1:6" ht="12.75">
      <c r="A462" s="1327">
        <v>3</v>
      </c>
      <c r="B462" s="1331" t="s">
        <v>795</v>
      </c>
      <c r="C462" s="1206"/>
      <c r="D462" s="1332"/>
      <c r="E462" s="1111"/>
      <c r="F462" s="1072">
        <f t="shared" si="6"/>
        <v>0</v>
      </c>
    </row>
    <row r="463" spans="1:6" ht="14.25">
      <c r="A463" s="1042">
        <v>3.1</v>
      </c>
      <c r="B463" s="1268" t="s">
        <v>796</v>
      </c>
      <c r="C463" s="1206">
        <v>53.46</v>
      </c>
      <c r="D463" s="1326" t="s">
        <v>847</v>
      </c>
      <c r="E463" s="1111"/>
      <c r="F463" s="1072">
        <f aca="true" t="shared" si="7" ref="F463:F497">+E463*C463</f>
        <v>0</v>
      </c>
    </row>
    <row r="464" spans="1:6" ht="14.25">
      <c r="A464" s="1042">
        <v>3.2</v>
      </c>
      <c r="B464" s="1268" t="s">
        <v>797</v>
      </c>
      <c r="C464" s="1206">
        <v>26.16</v>
      </c>
      <c r="D464" s="1326" t="s">
        <v>832</v>
      </c>
      <c r="E464" s="1111"/>
      <c r="F464" s="1072">
        <f t="shared" si="7"/>
        <v>0</v>
      </c>
    </row>
    <row r="465" spans="1:6" ht="14.25">
      <c r="A465" s="1042">
        <v>3.3</v>
      </c>
      <c r="B465" s="1268" t="s">
        <v>799</v>
      </c>
      <c r="C465" s="1206">
        <v>35.49</v>
      </c>
      <c r="D465" s="1326" t="s">
        <v>848</v>
      </c>
      <c r="E465" s="1111"/>
      <c r="F465" s="1072">
        <f t="shared" si="7"/>
        <v>0</v>
      </c>
    </row>
    <row r="466" spans="1:6" ht="14.25">
      <c r="A466" s="1042"/>
      <c r="B466" s="1268"/>
      <c r="C466" s="1206"/>
      <c r="D466" s="1333"/>
      <c r="E466" s="1111"/>
      <c r="F466" s="1072">
        <f t="shared" si="7"/>
        <v>0</v>
      </c>
    </row>
    <row r="467" spans="1:6" ht="12.75">
      <c r="A467" s="1327">
        <v>4</v>
      </c>
      <c r="B467" s="1331" t="s">
        <v>800</v>
      </c>
      <c r="C467" s="1206"/>
      <c r="D467" s="1332"/>
      <c r="E467" s="1111"/>
      <c r="F467" s="1072">
        <f t="shared" si="7"/>
        <v>0</v>
      </c>
    </row>
    <row r="468" spans="1:6" ht="27">
      <c r="A468" s="1042">
        <v>4.1</v>
      </c>
      <c r="B468" s="1268" t="s">
        <v>877</v>
      </c>
      <c r="C468" s="1206">
        <v>11.85</v>
      </c>
      <c r="D468" s="1333" t="s">
        <v>801</v>
      </c>
      <c r="E468" s="1111"/>
      <c r="F468" s="1072">
        <f t="shared" si="7"/>
        <v>0</v>
      </c>
    </row>
    <row r="469" spans="1:6" ht="28.5">
      <c r="A469" s="1042">
        <v>4.2</v>
      </c>
      <c r="B469" s="1268" t="s">
        <v>849</v>
      </c>
      <c r="C469" s="1206">
        <v>3</v>
      </c>
      <c r="D469" s="1333" t="s">
        <v>801</v>
      </c>
      <c r="E469" s="1111"/>
      <c r="F469" s="1072">
        <f t="shared" si="7"/>
        <v>0</v>
      </c>
    </row>
    <row r="470" spans="1:6" ht="27">
      <c r="A470" s="1042">
        <v>4.3</v>
      </c>
      <c r="B470" s="1268" t="s">
        <v>850</v>
      </c>
      <c r="C470" s="1206">
        <v>4.61</v>
      </c>
      <c r="D470" s="1333" t="s">
        <v>801</v>
      </c>
      <c r="E470" s="1111"/>
      <c r="F470" s="1072">
        <f t="shared" si="7"/>
        <v>0</v>
      </c>
    </row>
    <row r="471" spans="1:6" ht="27">
      <c r="A471" s="1042">
        <v>4.4</v>
      </c>
      <c r="B471" s="1268" t="s">
        <v>851</v>
      </c>
      <c r="C471" s="1206">
        <v>3.55</v>
      </c>
      <c r="D471" s="1333" t="s">
        <v>801</v>
      </c>
      <c r="E471" s="1111"/>
      <c r="F471" s="1072">
        <f t="shared" si="7"/>
        <v>0</v>
      </c>
    </row>
    <row r="472" spans="1:6" ht="27">
      <c r="A472" s="1042">
        <v>4.5</v>
      </c>
      <c r="B472" s="1268" t="s">
        <v>852</v>
      </c>
      <c r="C472" s="1206">
        <v>5.02</v>
      </c>
      <c r="D472" s="1333" t="s">
        <v>801</v>
      </c>
      <c r="E472" s="1111"/>
      <c r="F472" s="1072">
        <f t="shared" si="7"/>
        <v>0</v>
      </c>
    </row>
    <row r="473" spans="1:6" ht="28.5">
      <c r="A473" s="1042">
        <v>4.6</v>
      </c>
      <c r="B473" s="1268" t="s">
        <v>802</v>
      </c>
      <c r="C473" s="1206">
        <v>1.32</v>
      </c>
      <c r="D473" s="1333" t="s">
        <v>801</v>
      </c>
      <c r="E473" s="1111"/>
      <c r="F473" s="1072">
        <f t="shared" si="7"/>
        <v>0</v>
      </c>
    </row>
    <row r="474" spans="1:6" ht="12.75">
      <c r="A474" s="1042"/>
      <c r="B474" s="1334"/>
      <c r="C474" s="1206"/>
      <c r="D474" s="1326"/>
      <c r="E474" s="1111"/>
      <c r="F474" s="1072">
        <f t="shared" si="7"/>
        <v>0</v>
      </c>
    </row>
    <row r="475" spans="1:6" ht="12.75">
      <c r="A475" s="1265">
        <v>5</v>
      </c>
      <c r="B475" s="1331" t="s">
        <v>233</v>
      </c>
      <c r="C475" s="1206"/>
      <c r="D475" s="1326"/>
      <c r="E475" s="1111"/>
      <c r="F475" s="1072">
        <f t="shared" si="7"/>
        <v>0</v>
      </c>
    </row>
    <row r="476" spans="1:6" ht="14.25">
      <c r="A476" s="1042">
        <v>5.1</v>
      </c>
      <c r="B476" s="1268" t="s">
        <v>803</v>
      </c>
      <c r="C476" s="1206">
        <v>301.6</v>
      </c>
      <c r="D476" s="1333" t="s">
        <v>804</v>
      </c>
      <c r="E476" s="1111"/>
      <c r="F476" s="1072">
        <f t="shared" si="7"/>
        <v>0</v>
      </c>
    </row>
    <row r="477" spans="1:6" ht="14.25">
      <c r="A477" s="1042">
        <v>5.2</v>
      </c>
      <c r="B477" s="1268" t="s">
        <v>805</v>
      </c>
      <c r="C477" s="1206">
        <v>46.4</v>
      </c>
      <c r="D477" s="1333" t="s">
        <v>804</v>
      </c>
      <c r="E477" s="1111"/>
      <c r="F477" s="1072">
        <f t="shared" si="7"/>
        <v>0</v>
      </c>
    </row>
    <row r="478" spans="1:6" ht="12.75">
      <c r="A478" s="1042"/>
      <c r="B478" s="1334"/>
      <c r="C478" s="1206"/>
      <c r="D478" s="1332"/>
      <c r="E478" s="1111"/>
      <c r="F478" s="1072">
        <f t="shared" si="7"/>
        <v>0</v>
      </c>
    </row>
    <row r="479" spans="1:6" ht="12.75">
      <c r="A479" s="1327">
        <v>6</v>
      </c>
      <c r="B479" s="1331" t="s">
        <v>765</v>
      </c>
      <c r="C479" s="1206"/>
      <c r="D479" s="1332"/>
      <c r="E479" s="1111"/>
      <c r="F479" s="1072">
        <f t="shared" si="7"/>
        <v>0</v>
      </c>
    </row>
    <row r="480" spans="1:6" ht="14.25">
      <c r="A480" s="1042">
        <v>6.1</v>
      </c>
      <c r="B480" s="1268" t="s">
        <v>766</v>
      </c>
      <c r="C480" s="1206">
        <v>128.44</v>
      </c>
      <c r="D480" s="1333" t="s">
        <v>804</v>
      </c>
      <c r="E480" s="1111"/>
      <c r="F480" s="1072">
        <f t="shared" si="7"/>
        <v>0</v>
      </c>
    </row>
    <row r="481" spans="1:6" ht="14.25">
      <c r="A481" s="1042">
        <v>6.2</v>
      </c>
      <c r="B481" s="1268" t="s">
        <v>806</v>
      </c>
      <c r="C481" s="1206">
        <v>128.44</v>
      </c>
      <c r="D481" s="1333" t="s">
        <v>804</v>
      </c>
      <c r="E481" s="1111"/>
      <c r="F481" s="1072">
        <f t="shared" si="7"/>
        <v>0</v>
      </c>
    </row>
    <row r="482" spans="1:6" ht="14.25">
      <c r="A482" s="1042">
        <v>6.3</v>
      </c>
      <c r="B482" s="1268" t="s">
        <v>771</v>
      </c>
      <c r="C482" s="1206">
        <v>751.2</v>
      </c>
      <c r="D482" s="1332" t="s">
        <v>20</v>
      </c>
      <c r="E482" s="1111"/>
      <c r="F482" s="1072">
        <f t="shared" si="7"/>
        <v>0</v>
      </c>
    </row>
    <row r="483" spans="1:6" ht="12.75">
      <c r="A483" s="1043"/>
      <c r="B483" s="1331"/>
      <c r="C483" s="1206"/>
      <c r="D483" s="1332"/>
      <c r="E483" s="1111"/>
      <c r="F483" s="1072">
        <f t="shared" si="7"/>
        <v>0</v>
      </c>
    </row>
    <row r="484" spans="1:6" ht="12.75">
      <c r="A484" s="1327">
        <v>7</v>
      </c>
      <c r="B484" s="1331" t="s">
        <v>416</v>
      </c>
      <c r="C484" s="1206"/>
      <c r="D484" s="1332"/>
      <c r="E484" s="1111"/>
      <c r="F484" s="1072">
        <f t="shared" si="7"/>
        <v>0</v>
      </c>
    </row>
    <row r="485" spans="1:6" ht="14.25">
      <c r="A485" s="1042">
        <v>7.1</v>
      </c>
      <c r="B485" s="1268" t="s">
        <v>807</v>
      </c>
      <c r="C485" s="1206">
        <v>128.44</v>
      </c>
      <c r="D485" s="1333" t="s">
        <v>804</v>
      </c>
      <c r="E485" s="1035"/>
      <c r="F485" s="1072">
        <f t="shared" si="7"/>
        <v>0</v>
      </c>
    </row>
    <row r="486" spans="1:6" ht="14.25">
      <c r="A486" s="1042">
        <v>7.2</v>
      </c>
      <c r="B486" s="1268" t="s">
        <v>887</v>
      </c>
      <c r="C486" s="1206">
        <v>128.44</v>
      </c>
      <c r="D486" s="1333" t="s">
        <v>804</v>
      </c>
      <c r="E486" s="1035"/>
      <c r="F486" s="1072">
        <f t="shared" si="7"/>
        <v>0</v>
      </c>
    </row>
    <row r="487" spans="1:6" ht="14.25">
      <c r="A487" s="1042"/>
      <c r="B487" s="1268"/>
      <c r="C487" s="1206"/>
      <c r="D487" s="1332"/>
      <c r="E487" s="1111"/>
      <c r="F487" s="1072">
        <f t="shared" si="7"/>
        <v>0</v>
      </c>
    </row>
    <row r="488" spans="1:6" ht="28.5">
      <c r="A488" s="1330">
        <v>8</v>
      </c>
      <c r="B488" s="1268" t="s">
        <v>808</v>
      </c>
      <c r="C488" s="1206">
        <v>125.6</v>
      </c>
      <c r="D488" s="1332" t="s">
        <v>20</v>
      </c>
      <c r="E488" s="1111"/>
      <c r="F488" s="1072">
        <f t="shared" si="7"/>
        <v>0</v>
      </c>
    </row>
    <row r="489" spans="1:6" ht="42.75">
      <c r="A489" s="1330">
        <v>9</v>
      </c>
      <c r="B489" s="1268" t="s">
        <v>809</v>
      </c>
      <c r="C489" s="1196">
        <v>10.4</v>
      </c>
      <c r="D489" s="1332" t="s">
        <v>20</v>
      </c>
      <c r="E489" s="1111"/>
      <c r="F489" s="1072">
        <f t="shared" si="7"/>
        <v>0</v>
      </c>
    </row>
    <row r="490" spans="1:6" ht="28.5">
      <c r="A490" s="1330">
        <v>10</v>
      </c>
      <c r="B490" s="1268" t="s">
        <v>810</v>
      </c>
      <c r="C490" s="1206">
        <v>16</v>
      </c>
      <c r="D490" s="1335" t="s">
        <v>714</v>
      </c>
      <c r="E490" s="1111"/>
      <c r="F490" s="1072">
        <f t="shared" si="7"/>
        <v>0</v>
      </c>
    </row>
    <row r="491" spans="1:6" ht="14.25">
      <c r="A491" s="1042"/>
      <c r="B491" s="1268"/>
      <c r="C491" s="1206"/>
      <c r="D491" s="1335"/>
      <c r="E491" s="1111"/>
      <c r="F491" s="1072">
        <f t="shared" si="7"/>
        <v>0</v>
      </c>
    </row>
    <row r="492" spans="1:200" ht="14.25">
      <c r="A492" s="1330">
        <v>11</v>
      </c>
      <c r="B492" s="1268" t="s">
        <v>888</v>
      </c>
      <c r="C492" s="1206">
        <v>1</v>
      </c>
      <c r="D492" s="1335" t="s">
        <v>714</v>
      </c>
      <c r="E492" s="1111"/>
      <c r="F492" s="1072">
        <f t="shared" si="7"/>
        <v>0</v>
      </c>
      <c r="GM492" s="1112" t="s">
        <v>327</v>
      </c>
      <c r="GN492" s="1113" t="s">
        <v>328</v>
      </c>
      <c r="GO492" s="1114" t="s">
        <v>329</v>
      </c>
      <c r="GR492" s="1112" t="s">
        <v>330</v>
      </c>
    </row>
    <row r="493" spans="1:197" ht="12.75">
      <c r="A493" s="1336"/>
      <c r="B493" s="1337" t="s">
        <v>812</v>
      </c>
      <c r="C493" s="1336"/>
      <c r="D493" s="1337"/>
      <c r="E493" s="1115"/>
      <c r="F493" s="1115">
        <f>SUM(F455:F492)</f>
        <v>0</v>
      </c>
      <c r="GM493" s="1116" t="s">
        <v>372</v>
      </c>
      <c r="GN493" s="1117" t="s">
        <v>332</v>
      </c>
      <c r="GO493" s="1118">
        <v>0.03</v>
      </c>
    </row>
    <row r="494" spans="1:201" ht="12.75">
      <c r="A494" s="1281"/>
      <c r="B494" s="1281"/>
      <c r="C494" s="1196"/>
      <c r="D494" s="1281"/>
      <c r="E494" s="1071"/>
      <c r="F494" s="1072"/>
      <c r="GM494" s="1116" t="s">
        <v>373</v>
      </c>
      <c r="GN494" s="1117" t="s">
        <v>337</v>
      </c>
      <c r="GO494" s="1118">
        <v>0.04</v>
      </c>
      <c r="GP494" s="1056" t="s">
        <v>356</v>
      </c>
      <c r="GR494" s="1116"/>
      <c r="GS494" s="1044" t="s">
        <v>370</v>
      </c>
    </row>
    <row r="495" spans="1:201" ht="12.75">
      <c r="A495" s="1338" t="s">
        <v>334</v>
      </c>
      <c r="B495" s="1339" t="s">
        <v>636</v>
      </c>
      <c r="C495" s="1340"/>
      <c r="D495" s="1341"/>
      <c r="E495" s="1031"/>
      <c r="F495" s="1072">
        <f t="shared" si="7"/>
        <v>0</v>
      </c>
      <c r="GM495" s="1116" t="s">
        <v>374</v>
      </c>
      <c r="GN495" s="1117" t="s">
        <v>337</v>
      </c>
      <c r="GO495" s="1118">
        <v>0.03</v>
      </c>
      <c r="GP495" s="1056" t="s">
        <v>353</v>
      </c>
      <c r="GR495" s="1116"/>
      <c r="GS495" s="1044" t="s">
        <v>340</v>
      </c>
    </row>
    <row r="496" spans="1:201" ht="71.25">
      <c r="A496" s="1342">
        <v>1</v>
      </c>
      <c r="B496" s="1343" t="s">
        <v>713</v>
      </c>
      <c r="C496" s="1344">
        <v>4</v>
      </c>
      <c r="D496" s="1207" t="s">
        <v>714</v>
      </c>
      <c r="E496" s="1031"/>
      <c r="F496" s="1072">
        <f t="shared" si="7"/>
        <v>0</v>
      </c>
      <c r="GM496" s="1116" t="s">
        <v>375</v>
      </c>
      <c r="GN496" s="1117" t="s">
        <v>334</v>
      </c>
      <c r="GO496" s="1118">
        <v>0.045</v>
      </c>
      <c r="GP496" s="1056" t="s">
        <v>359</v>
      </c>
      <c r="GR496" s="1116"/>
      <c r="GS496" s="1044" t="s">
        <v>370</v>
      </c>
    </row>
    <row r="497" spans="1:201" ht="28.5">
      <c r="A497" s="1345">
        <v>2</v>
      </c>
      <c r="B497" s="1346" t="s">
        <v>744</v>
      </c>
      <c r="C497" s="1344">
        <v>10</v>
      </c>
      <c r="D497" s="1347" t="s">
        <v>864</v>
      </c>
      <c r="E497" s="1119"/>
      <c r="F497" s="1072">
        <f t="shared" si="7"/>
        <v>0</v>
      </c>
      <c r="GM497" s="1116" t="s">
        <v>331</v>
      </c>
      <c r="GN497" s="1117" t="s">
        <v>332</v>
      </c>
      <c r="GO497" s="1118">
        <v>0.015</v>
      </c>
      <c r="GP497" s="1056" t="s">
        <v>344</v>
      </c>
      <c r="GR497" s="1116"/>
      <c r="GS497" s="1044" t="s">
        <v>371</v>
      </c>
    </row>
    <row r="498" spans="1:201" ht="12.75">
      <c r="A498" s="1348"/>
      <c r="B498" s="1349" t="s">
        <v>813</v>
      </c>
      <c r="C498" s="1350"/>
      <c r="D498" s="1348"/>
      <c r="E498" s="1120"/>
      <c r="F498" s="1120">
        <f>SUM(F495:F497)</f>
        <v>0</v>
      </c>
      <c r="GM498" s="1116" t="s">
        <v>376</v>
      </c>
      <c r="GN498" s="1117" t="s">
        <v>335</v>
      </c>
      <c r="GO498" s="1118">
        <v>0.03</v>
      </c>
      <c r="GP498" s="1056" t="s">
        <v>355</v>
      </c>
      <c r="GR498" s="1116"/>
      <c r="GS498" s="1044" t="s">
        <v>371</v>
      </c>
    </row>
    <row r="499" spans="1:201" ht="12.75">
      <c r="A499" s="1281"/>
      <c r="B499" s="1351"/>
      <c r="C499" s="1352"/>
      <c r="D499" s="1353"/>
      <c r="E499" s="1121"/>
      <c r="F499" s="1122"/>
      <c r="GM499" s="1116" t="s">
        <v>377</v>
      </c>
      <c r="GN499" s="1117" t="s">
        <v>333</v>
      </c>
      <c r="GO499" s="1118">
        <v>0.04</v>
      </c>
      <c r="GP499" s="1056" t="s">
        <v>345</v>
      </c>
      <c r="GR499" s="1116"/>
      <c r="GS499" s="1044" t="s">
        <v>371</v>
      </c>
    </row>
    <row r="500" spans="1:201" ht="12.75">
      <c r="A500" s="1354"/>
      <c r="B500" s="1355" t="s">
        <v>638</v>
      </c>
      <c r="C500" s="1356"/>
      <c r="D500" s="1357"/>
      <c r="E500" s="1123"/>
      <c r="F500" s="1124">
        <f>+F498+F493+F453+F368+F310+F229+F183+F128+F69</f>
        <v>0</v>
      </c>
      <c r="GM500" s="1116" t="s">
        <v>378</v>
      </c>
      <c r="GN500" s="1117" t="s">
        <v>332</v>
      </c>
      <c r="GO500" s="1118">
        <v>0.045</v>
      </c>
      <c r="GP500" s="1056" t="s">
        <v>346</v>
      </c>
      <c r="GR500" s="1116"/>
      <c r="GS500" s="1044" t="s">
        <v>371</v>
      </c>
    </row>
    <row r="501" spans="1:201" ht="12.75">
      <c r="A501" s="1354"/>
      <c r="B501" s="1355" t="s">
        <v>638</v>
      </c>
      <c r="C501" s="1356"/>
      <c r="D501" s="1357"/>
      <c r="E501" s="1123"/>
      <c r="F501" s="1124">
        <f>+F500</f>
        <v>0</v>
      </c>
      <c r="GM501" s="1116" t="s">
        <v>379</v>
      </c>
      <c r="GN501" s="1117" t="s">
        <v>336</v>
      </c>
      <c r="GO501" s="1118">
        <v>0.04</v>
      </c>
      <c r="GP501" s="1056" t="s">
        <v>347</v>
      </c>
      <c r="GR501" s="1116"/>
      <c r="GS501" s="1044" t="s">
        <v>371</v>
      </c>
    </row>
    <row r="502" spans="1:201" ht="12.75">
      <c r="A502" s="1279"/>
      <c r="B502" s="1358"/>
      <c r="C502" s="1359"/>
      <c r="D502" s="1360"/>
      <c r="E502" s="1121"/>
      <c r="F502" s="1122"/>
      <c r="GM502" s="1116" t="s">
        <v>341</v>
      </c>
      <c r="GN502" s="1117" t="s">
        <v>342</v>
      </c>
      <c r="GO502" s="1125"/>
      <c r="GP502" s="1056" t="s">
        <v>348</v>
      </c>
      <c r="GR502" s="1116"/>
      <c r="GS502" s="1044" t="s">
        <v>371</v>
      </c>
    </row>
    <row r="503" spans="1:201" ht="12.75">
      <c r="A503" s="1361"/>
      <c r="B503" s="1322" t="s">
        <v>640</v>
      </c>
      <c r="C503" s="1362"/>
      <c r="D503" s="1363"/>
      <c r="E503" s="1121"/>
      <c r="F503" s="1126"/>
      <c r="GM503" s="1116" t="s">
        <v>380</v>
      </c>
      <c r="GN503" s="1117" t="s">
        <v>333</v>
      </c>
      <c r="GO503" s="1118">
        <v>0.03</v>
      </c>
      <c r="GP503" s="1056" t="s">
        <v>349</v>
      </c>
      <c r="GR503" s="1116"/>
      <c r="GS503" s="1044" t="s">
        <v>371</v>
      </c>
    </row>
    <row r="504" spans="1:201" ht="14.25">
      <c r="A504" s="1364"/>
      <c r="B504" s="1365" t="s">
        <v>715</v>
      </c>
      <c r="C504" s="1366">
        <v>0.03</v>
      </c>
      <c r="D504" s="1367"/>
      <c r="E504" s="1121"/>
      <c r="F504" s="1127">
        <f>+$F$501*C504</f>
        <v>0</v>
      </c>
      <c r="GM504" s="1116" t="s">
        <v>381</v>
      </c>
      <c r="GN504" s="1117" t="s">
        <v>335</v>
      </c>
      <c r="GO504" s="1118">
        <v>0.03</v>
      </c>
      <c r="GP504" s="1056" t="s">
        <v>350</v>
      </c>
      <c r="GR504" s="1116"/>
      <c r="GS504" s="1044" t="s">
        <v>371</v>
      </c>
    </row>
    <row r="505" spans="1:201" ht="14.25">
      <c r="A505" s="1364"/>
      <c r="B505" s="1365" t="s">
        <v>716</v>
      </c>
      <c r="C505" s="1366">
        <v>0.1</v>
      </c>
      <c r="D505" s="1367"/>
      <c r="E505" s="1121"/>
      <c r="F505" s="1127">
        <f aca="true" t="shared" si="8" ref="F505:F515">+$F$501*C505</f>
        <v>0</v>
      </c>
      <c r="GM505" s="1116" t="s">
        <v>382</v>
      </c>
      <c r="GN505" s="1117" t="s">
        <v>337</v>
      </c>
      <c r="GO505" s="1118">
        <v>0.045</v>
      </c>
      <c r="GP505" s="1056" t="s">
        <v>351</v>
      </c>
      <c r="GR505" s="1116"/>
      <c r="GS505" s="1044" t="s">
        <v>340</v>
      </c>
    </row>
    <row r="506" spans="1:201" ht="14.25">
      <c r="A506" s="1364"/>
      <c r="B506" s="1365" t="s">
        <v>717</v>
      </c>
      <c r="C506" s="1366">
        <v>0.04</v>
      </c>
      <c r="D506" s="1367"/>
      <c r="E506" s="1121"/>
      <c r="F506" s="1127">
        <f t="shared" si="8"/>
        <v>0</v>
      </c>
      <c r="GM506" s="1116" t="s">
        <v>383</v>
      </c>
      <c r="GN506" s="1117" t="s">
        <v>333</v>
      </c>
      <c r="GO506" s="1118">
        <v>0.04</v>
      </c>
      <c r="GP506" s="1056" t="s">
        <v>352</v>
      </c>
      <c r="GR506" s="1116"/>
      <c r="GS506" s="1044" t="s">
        <v>371</v>
      </c>
    </row>
    <row r="507" spans="1:201" ht="14.25">
      <c r="A507" s="1364"/>
      <c r="B507" s="1365" t="s">
        <v>718</v>
      </c>
      <c r="C507" s="1366">
        <v>0.05</v>
      </c>
      <c r="D507" s="1367"/>
      <c r="E507" s="1121"/>
      <c r="F507" s="1127">
        <f t="shared" si="8"/>
        <v>0</v>
      </c>
      <c r="GM507" s="1116" t="s">
        <v>384</v>
      </c>
      <c r="GN507" s="1117" t="s">
        <v>333</v>
      </c>
      <c r="GO507" s="1118">
        <v>0.03</v>
      </c>
      <c r="GP507" s="1056" t="s">
        <v>354</v>
      </c>
      <c r="GR507" s="1116"/>
      <c r="GS507" s="1044" t="s">
        <v>371</v>
      </c>
    </row>
    <row r="508" spans="1:201" ht="14.25">
      <c r="A508" s="1364"/>
      <c r="B508" s="1365" t="s">
        <v>719</v>
      </c>
      <c r="C508" s="1366">
        <v>0.025</v>
      </c>
      <c r="D508" s="1367"/>
      <c r="E508" s="1121"/>
      <c r="F508" s="1127">
        <f t="shared" si="8"/>
        <v>0</v>
      </c>
      <c r="GM508" s="1116" t="s">
        <v>385</v>
      </c>
      <c r="GN508" s="1117" t="s">
        <v>336</v>
      </c>
      <c r="GO508" s="1118">
        <v>0.03</v>
      </c>
      <c r="GP508" s="1056" t="s">
        <v>358</v>
      </c>
      <c r="GR508" s="1116"/>
      <c r="GS508" s="1044" t="s">
        <v>371</v>
      </c>
    </row>
    <row r="509" spans="1:201" ht="14.25">
      <c r="A509" s="1364"/>
      <c r="B509" s="1365" t="s">
        <v>720</v>
      </c>
      <c r="C509" s="1366">
        <v>0.01</v>
      </c>
      <c r="D509" s="1367"/>
      <c r="E509" s="1121"/>
      <c r="F509" s="1127">
        <f t="shared" si="8"/>
        <v>0</v>
      </c>
      <c r="GM509" s="1116" t="s">
        <v>386</v>
      </c>
      <c r="GN509" s="1117" t="s">
        <v>335</v>
      </c>
      <c r="GO509" s="1118">
        <v>0.04</v>
      </c>
      <c r="GP509" s="1056" t="s">
        <v>357</v>
      </c>
      <c r="GR509" s="1116"/>
      <c r="GS509" s="1044" t="s">
        <v>371</v>
      </c>
    </row>
    <row r="510" spans="1:201" ht="12.75">
      <c r="A510" s="1364"/>
      <c r="B510" s="1368" t="s">
        <v>895</v>
      </c>
      <c r="C510" s="1366">
        <v>0.001</v>
      </c>
      <c r="D510" s="1367"/>
      <c r="E510" s="1121"/>
      <c r="F510" s="1127">
        <f t="shared" si="8"/>
        <v>0</v>
      </c>
      <c r="GM510" s="1116" t="s">
        <v>387</v>
      </c>
      <c r="GN510" s="1117" t="s">
        <v>336</v>
      </c>
      <c r="GO510" s="1118">
        <v>0.03</v>
      </c>
      <c r="GP510" s="1056" t="s">
        <v>369</v>
      </c>
      <c r="GR510" s="1116"/>
      <c r="GS510" s="1044" t="s">
        <v>368</v>
      </c>
    </row>
    <row r="511" spans="1:197" ht="14.25">
      <c r="A511" s="1364"/>
      <c r="B511" s="1365" t="s">
        <v>721</v>
      </c>
      <c r="C511" s="1369">
        <v>0.18</v>
      </c>
      <c r="D511" s="1367"/>
      <c r="E511" s="1121"/>
      <c r="F511" s="1127">
        <f>+$F$505*C511</f>
        <v>0</v>
      </c>
      <c r="GM511" s="1116" t="s">
        <v>388</v>
      </c>
      <c r="GN511" s="1117" t="s">
        <v>334</v>
      </c>
      <c r="GO511" s="1118">
        <v>0.045</v>
      </c>
    </row>
    <row r="512" spans="1:197" ht="14.25">
      <c r="A512" s="1364"/>
      <c r="B512" s="1365" t="s">
        <v>722</v>
      </c>
      <c r="C512" s="1366">
        <v>0.1</v>
      </c>
      <c r="D512" s="1367"/>
      <c r="E512" s="1121"/>
      <c r="F512" s="1127">
        <f t="shared" si="8"/>
        <v>0</v>
      </c>
      <c r="GM512" s="1116" t="s">
        <v>389</v>
      </c>
      <c r="GN512" s="1117" t="s">
        <v>338</v>
      </c>
      <c r="GO512" s="1118">
        <v>0.03</v>
      </c>
    </row>
    <row r="513" spans="1:197" ht="28.5">
      <c r="A513" s="1364"/>
      <c r="B513" s="1370" t="s">
        <v>723</v>
      </c>
      <c r="C513" s="1371">
        <v>0.03</v>
      </c>
      <c r="D513" s="1372"/>
      <c r="E513" s="1071"/>
      <c r="F513" s="1127">
        <f t="shared" si="8"/>
        <v>0</v>
      </c>
      <c r="GM513" s="1116" t="s">
        <v>390</v>
      </c>
      <c r="GN513" s="1117" t="s">
        <v>337</v>
      </c>
      <c r="GO513" s="1118">
        <v>0.045</v>
      </c>
    </row>
    <row r="514" spans="1:197" ht="14.25">
      <c r="A514" s="1364"/>
      <c r="B514" s="1370" t="s">
        <v>724</v>
      </c>
      <c r="C514" s="1371">
        <v>0.015</v>
      </c>
      <c r="D514" s="1367"/>
      <c r="E514" s="1121"/>
      <c r="F514" s="1127">
        <f t="shared" si="8"/>
        <v>0</v>
      </c>
      <c r="GM514" s="1116" t="s">
        <v>391</v>
      </c>
      <c r="GN514" s="1117" t="s">
        <v>338</v>
      </c>
      <c r="GO514" s="1118">
        <v>0.03</v>
      </c>
    </row>
    <row r="515" spans="1:197" ht="14.25">
      <c r="A515" s="1364"/>
      <c r="B515" s="1365" t="s">
        <v>725</v>
      </c>
      <c r="C515" s="1366">
        <v>0.05</v>
      </c>
      <c r="D515" s="1367"/>
      <c r="E515" s="1121"/>
      <c r="F515" s="1127">
        <f t="shared" si="8"/>
        <v>0</v>
      </c>
      <c r="GM515" s="1116" t="s">
        <v>392</v>
      </c>
      <c r="GN515" s="1117" t="s">
        <v>339</v>
      </c>
      <c r="GO515" s="1118">
        <v>0.04</v>
      </c>
    </row>
    <row r="516" spans="1:199" ht="12.75">
      <c r="A516" s="1373"/>
      <c r="B516" s="1322" t="s">
        <v>641</v>
      </c>
      <c r="C516" s="1374"/>
      <c r="D516" s="1375"/>
      <c r="E516" s="1128"/>
      <c r="F516" s="1129">
        <f>SUM(F504:F515)</f>
        <v>0</v>
      </c>
      <c r="GM516" s="1116" t="s">
        <v>393</v>
      </c>
      <c r="GN516" s="1117" t="s">
        <v>335</v>
      </c>
      <c r="GO516" s="1118">
        <v>0.04</v>
      </c>
      <c r="GQ516" s="1044" t="s">
        <v>360</v>
      </c>
    </row>
    <row r="517" spans="1:199" ht="12.75">
      <c r="A517" s="1373"/>
      <c r="B517" s="1322"/>
      <c r="C517" s="1374"/>
      <c r="D517" s="1375"/>
      <c r="E517" s="1128"/>
      <c r="F517" s="1129"/>
      <c r="GM517" s="1116" t="s">
        <v>394</v>
      </c>
      <c r="GN517" s="1117" t="s">
        <v>338</v>
      </c>
      <c r="GO517" s="1118">
        <v>0.02</v>
      </c>
      <c r="GQ517" s="1044" t="s">
        <v>361</v>
      </c>
    </row>
    <row r="518" spans="1:199" ht="12.75">
      <c r="A518" s="1376"/>
      <c r="B518" s="1377" t="s">
        <v>642</v>
      </c>
      <c r="C518" s="1378"/>
      <c r="D518" s="1379"/>
      <c r="E518" s="1130"/>
      <c r="F518" s="1131">
        <f>+F516+F501</f>
        <v>0</v>
      </c>
      <c r="GM518" s="1116" t="s">
        <v>395</v>
      </c>
      <c r="GN518" s="1117" t="s">
        <v>338</v>
      </c>
      <c r="GO518" s="1118">
        <v>0.03</v>
      </c>
      <c r="GQ518" s="1044" t="s">
        <v>362</v>
      </c>
    </row>
    <row r="519" spans="1:197" ht="12.75">
      <c r="A519" s="1373"/>
      <c r="B519" s="1380"/>
      <c r="C519" s="1374"/>
      <c r="D519" s="1375"/>
      <c r="E519" s="1128"/>
      <c r="F519" s="1129"/>
      <c r="GM519" s="1116" t="s">
        <v>396</v>
      </c>
      <c r="GN519" s="1117" t="s">
        <v>332</v>
      </c>
      <c r="GO519" s="1118">
        <v>0.04</v>
      </c>
    </row>
    <row r="520" spans="1:197" ht="12.75">
      <c r="A520" s="1282"/>
      <c r="B520" s="1381" t="s">
        <v>643</v>
      </c>
      <c r="C520" s="1382"/>
      <c r="D520" s="1382"/>
      <c r="E520" s="1132"/>
      <c r="F520" s="1133">
        <f>+F518</f>
        <v>0</v>
      </c>
      <c r="GM520" s="1116" t="s">
        <v>397</v>
      </c>
      <c r="GN520" s="1117" t="s">
        <v>333</v>
      </c>
      <c r="GO520" s="1118">
        <v>0.025</v>
      </c>
    </row>
    <row r="521" spans="1:197" ht="12.75">
      <c r="A521" s="1134"/>
      <c r="B521" s="1046"/>
      <c r="C521" s="1135"/>
      <c r="D521" s="1135"/>
      <c r="E521" s="1135"/>
      <c r="F521" s="1135"/>
      <c r="GM521" s="1116" t="s">
        <v>398</v>
      </c>
      <c r="GN521" s="1117" t="s">
        <v>335</v>
      </c>
      <c r="GO521" s="1118">
        <v>0.03</v>
      </c>
    </row>
    <row r="522" spans="1:197" ht="12.75">
      <c r="A522" s="1136"/>
      <c r="B522" s="1136"/>
      <c r="C522" s="1420"/>
      <c r="D522" s="1420"/>
      <c r="E522" s="1420"/>
      <c r="F522" s="1420"/>
      <c r="GM522" s="1116" t="s">
        <v>399</v>
      </c>
      <c r="GN522" s="1117" t="s">
        <v>336</v>
      </c>
      <c r="GO522" s="1118">
        <v>0.03</v>
      </c>
    </row>
    <row r="523" spans="1:6" ht="20.25">
      <c r="A523" s="1421"/>
      <c r="B523" s="1421"/>
      <c r="C523" s="1421"/>
      <c r="D523" s="1421"/>
      <c r="E523" s="1421"/>
      <c r="F523" s="1421"/>
    </row>
    <row r="528" spans="1:201" s="1138" customFormat="1" ht="12.75">
      <c r="A528" s="1137"/>
      <c r="B528" s="1085"/>
      <c r="D528" s="1139"/>
      <c r="F528" s="1085"/>
      <c r="G528" s="1044"/>
      <c r="H528" s="1044"/>
      <c r="I528" s="1044"/>
      <c r="J528" s="1044"/>
      <c r="K528" s="1044"/>
      <c r="L528" s="1044"/>
      <c r="M528" s="1044"/>
      <c r="N528" s="1044"/>
      <c r="O528" s="1044"/>
      <c r="P528" s="1044"/>
      <c r="Q528" s="1044"/>
      <c r="R528" s="1044"/>
      <c r="S528" s="1044"/>
      <c r="T528" s="1044"/>
      <c r="U528" s="1044"/>
      <c r="V528" s="1044"/>
      <c r="W528" s="1044"/>
      <c r="X528" s="1044"/>
      <c r="Y528" s="1044"/>
      <c r="Z528" s="1044"/>
      <c r="AA528" s="1044"/>
      <c r="AB528" s="1044"/>
      <c r="AC528" s="1044"/>
      <c r="AD528" s="1044"/>
      <c r="AE528" s="1044"/>
      <c r="AF528" s="1044"/>
      <c r="AG528" s="1044"/>
      <c r="AH528" s="1044"/>
      <c r="AI528" s="1044"/>
      <c r="AJ528" s="1044"/>
      <c r="AK528" s="1044"/>
      <c r="AL528" s="1044"/>
      <c r="AM528" s="1044"/>
      <c r="AN528" s="1044"/>
      <c r="AO528" s="1044"/>
      <c r="AP528" s="1044"/>
      <c r="AQ528" s="1044"/>
      <c r="AR528" s="1044"/>
      <c r="AS528" s="1044"/>
      <c r="AT528" s="1044"/>
      <c r="AU528" s="1044"/>
      <c r="AV528" s="1044"/>
      <c r="AW528" s="1044"/>
      <c r="AX528" s="1044"/>
      <c r="AY528" s="1044"/>
      <c r="AZ528" s="1044"/>
      <c r="BA528" s="1044"/>
      <c r="BB528" s="1044"/>
      <c r="BC528" s="1044"/>
      <c r="BD528" s="1044"/>
      <c r="BE528" s="1044"/>
      <c r="BF528" s="1044"/>
      <c r="BG528" s="1044"/>
      <c r="BH528" s="1044"/>
      <c r="BI528" s="1044"/>
      <c r="BJ528" s="1044"/>
      <c r="BK528" s="1044"/>
      <c r="BL528" s="1044"/>
      <c r="BM528" s="1044"/>
      <c r="BN528" s="1044"/>
      <c r="BO528" s="1044"/>
      <c r="BP528" s="1044"/>
      <c r="BQ528" s="1044"/>
      <c r="BR528" s="1044"/>
      <c r="BS528" s="1044"/>
      <c r="BT528" s="1044"/>
      <c r="BU528" s="1044"/>
      <c r="BV528" s="1044"/>
      <c r="BW528" s="1044"/>
      <c r="BX528" s="1044"/>
      <c r="BY528" s="1044"/>
      <c r="BZ528" s="1044"/>
      <c r="CA528" s="1044"/>
      <c r="CB528" s="1044"/>
      <c r="CC528" s="1044"/>
      <c r="CD528" s="1044"/>
      <c r="CE528" s="1044"/>
      <c r="CF528" s="1044"/>
      <c r="CG528" s="1044"/>
      <c r="CH528" s="1044"/>
      <c r="CI528" s="1044"/>
      <c r="CJ528" s="1044"/>
      <c r="CK528" s="1044"/>
      <c r="CL528" s="1044"/>
      <c r="CM528" s="1044"/>
      <c r="CN528" s="1044"/>
      <c r="CO528" s="1044"/>
      <c r="CP528" s="1044"/>
      <c r="CQ528" s="1044"/>
      <c r="CR528" s="1044"/>
      <c r="CS528" s="1044"/>
      <c r="CT528" s="1044"/>
      <c r="CU528" s="1044"/>
      <c r="CV528" s="1044"/>
      <c r="CW528" s="1044"/>
      <c r="CX528" s="1044"/>
      <c r="CY528" s="1044"/>
      <c r="CZ528" s="1044"/>
      <c r="DA528" s="1044"/>
      <c r="DB528" s="1044"/>
      <c r="DC528" s="1044"/>
      <c r="DD528" s="1044"/>
      <c r="DE528" s="1044"/>
      <c r="DF528" s="1044"/>
      <c r="DG528" s="1044"/>
      <c r="DH528" s="1044"/>
      <c r="DI528" s="1044"/>
      <c r="DJ528" s="1044"/>
      <c r="DK528" s="1044"/>
      <c r="DL528" s="1044"/>
      <c r="DM528" s="1044"/>
      <c r="DN528" s="1044"/>
      <c r="DO528" s="1044"/>
      <c r="DP528" s="1044"/>
      <c r="DQ528" s="1044"/>
      <c r="DR528" s="1044"/>
      <c r="DS528" s="1044"/>
      <c r="DT528" s="1044"/>
      <c r="DU528" s="1044"/>
      <c r="DV528" s="1044"/>
      <c r="DW528" s="1044"/>
      <c r="DX528" s="1044"/>
      <c r="DY528" s="1044"/>
      <c r="DZ528" s="1044"/>
      <c r="EA528" s="1044"/>
      <c r="EB528" s="1044"/>
      <c r="EC528" s="1044"/>
      <c r="ED528" s="1044"/>
      <c r="EE528" s="1044"/>
      <c r="EF528" s="1044"/>
      <c r="EG528" s="1044"/>
      <c r="EH528" s="1044"/>
      <c r="EI528" s="1044"/>
      <c r="EJ528" s="1044"/>
      <c r="EK528" s="1044"/>
      <c r="EL528" s="1044"/>
      <c r="EM528" s="1044"/>
      <c r="EN528" s="1044"/>
      <c r="EO528" s="1044"/>
      <c r="EP528" s="1044"/>
      <c r="EQ528" s="1044"/>
      <c r="ER528" s="1044"/>
      <c r="ES528" s="1044"/>
      <c r="ET528" s="1044"/>
      <c r="EU528" s="1044"/>
      <c r="EV528" s="1044"/>
      <c r="EW528" s="1044"/>
      <c r="EX528" s="1044"/>
      <c r="EY528" s="1044"/>
      <c r="EZ528" s="1044"/>
      <c r="FA528" s="1044"/>
      <c r="FB528" s="1044"/>
      <c r="FC528" s="1044"/>
      <c r="FD528" s="1044"/>
      <c r="FE528" s="1044"/>
      <c r="FF528" s="1044"/>
      <c r="FG528" s="1044"/>
      <c r="FH528" s="1044"/>
      <c r="FI528" s="1044"/>
      <c r="FJ528" s="1044"/>
      <c r="FK528" s="1044"/>
      <c r="FL528" s="1044"/>
      <c r="FM528" s="1044"/>
      <c r="FN528" s="1044"/>
      <c r="FO528" s="1044"/>
      <c r="FP528" s="1044"/>
      <c r="FQ528" s="1044"/>
      <c r="FR528" s="1044"/>
      <c r="FS528" s="1044"/>
      <c r="FT528" s="1044"/>
      <c r="FU528" s="1044"/>
      <c r="FV528" s="1044"/>
      <c r="FW528" s="1044"/>
      <c r="FX528" s="1044"/>
      <c r="FY528" s="1044"/>
      <c r="FZ528" s="1044"/>
      <c r="GA528" s="1044"/>
      <c r="GB528" s="1044"/>
      <c r="GC528" s="1044"/>
      <c r="GD528" s="1044"/>
      <c r="GE528" s="1044"/>
      <c r="GF528" s="1044"/>
      <c r="GG528" s="1044"/>
      <c r="GH528" s="1044"/>
      <c r="GI528" s="1044"/>
      <c r="GJ528" s="1044"/>
      <c r="GK528" s="1044"/>
      <c r="GL528" s="1044"/>
      <c r="GM528" s="1044"/>
      <c r="GN528" s="1044"/>
      <c r="GO528" s="1044"/>
      <c r="GP528" s="1044"/>
      <c r="GQ528" s="1044"/>
      <c r="GR528" s="1044"/>
      <c r="GS528" s="1044"/>
    </row>
    <row r="529" spans="1:201" s="1138" customFormat="1" ht="12.75">
      <c r="A529" s="1137"/>
      <c r="B529" s="1085"/>
      <c r="D529" s="1139"/>
      <c r="F529" s="1085"/>
      <c r="G529" s="1044"/>
      <c r="H529" s="1044"/>
      <c r="I529" s="1044"/>
      <c r="J529" s="1044"/>
      <c r="K529" s="1044"/>
      <c r="L529" s="1044"/>
      <c r="M529" s="1044"/>
      <c r="N529" s="1044"/>
      <c r="O529" s="1044"/>
      <c r="P529" s="1044"/>
      <c r="Q529" s="1044"/>
      <c r="R529" s="1044"/>
      <c r="S529" s="1044"/>
      <c r="T529" s="1044"/>
      <c r="U529" s="1044"/>
      <c r="V529" s="1044"/>
      <c r="W529" s="1044"/>
      <c r="X529" s="1044"/>
      <c r="Y529" s="1044"/>
      <c r="Z529" s="1044"/>
      <c r="AA529" s="1044"/>
      <c r="AB529" s="1044"/>
      <c r="AC529" s="1044"/>
      <c r="AD529" s="1044"/>
      <c r="AE529" s="1044"/>
      <c r="AF529" s="1044"/>
      <c r="AG529" s="1044"/>
      <c r="AH529" s="1044"/>
      <c r="AI529" s="1044"/>
      <c r="AJ529" s="1044"/>
      <c r="AK529" s="1044"/>
      <c r="AL529" s="1044"/>
      <c r="AM529" s="1044"/>
      <c r="AN529" s="1044"/>
      <c r="AO529" s="1044"/>
      <c r="AP529" s="1044"/>
      <c r="AQ529" s="1044"/>
      <c r="AR529" s="1044"/>
      <c r="AS529" s="1044"/>
      <c r="AT529" s="1044"/>
      <c r="AU529" s="1044"/>
      <c r="AV529" s="1044"/>
      <c r="AW529" s="1044"/>
      <c r="AX529" s="1044"/>
      <c r="AY529" s="1044"/>
      <c r="AZ529" s="1044"/>
      <c r="BA529" s="1044"/>
      <c r="BB529" s="1044"/>
      <c r="BC529" s="1044"/>
      <c r="BD529" s="1044"/>
      <c r="BE529" s="1044"/>
      <c r="BF529" s="1044"/>
      <c r="BG529" s="1044"/>
      <c r="BH529" s="1044"/>
      <c r="BI529" s="1044"/>
      <c r="BJ529" s="1044"/>
      <c r="BK529" s="1044"/>
      <c r="BL529" s="1044"/>
      <c r="BM529" s="1044"/>
      <c r="BN529" s="1044"/>
      <c r="BO529" s="1044"/>
      <c r="BP529" s="1044"/>
      <c r="BQ529" s="1044"/>
      <c r="BR529" s="1044"/>
      <c r="BS529" s="1044"/>
      <c r="BT529" s="1044"/>
      <c r="BU529" s="1044"/>
      <c r="BV529" s="1044"/>
      <c r="BW529" s="1044"/>
      <c r="BX529" s="1044"/>
      <c r="BY529" s="1044"/>
      <c r="BZ529" s="1044"/>
      <c r="CA529" s="1044"/>
      <c r="CB529" s="1044"/>
      <c r="CC529" s="1044"/>
      <c r="CD529" s="1044"/>
      <c r="CE529" s="1044"/>
      <c r="CF529" s="1044"/>
      <c r="CG529" s="1044"/>
      <c r="CH529" s="1044"/>
      <c r="CI529" s="1044"/>
      <c r="CJ529" s="1044"/>
      <c r="CK529" s="1044"/>
      <c r="CL529" s="1044"/>
      <c r="CM529" s="1044"/>
      <c r="CN529" s="1044"/>
      <c r="CO529" s="1044"/>
      <c r="CP529" s="1044"/>
      <c r="CQ529" s="1044"/>
      <c r="CR529" s="1044"/>
      <c r="CS529" s="1044"/>
      <c r="CT529" s="1044"/>
      <c r="CU529" s="1044"/>
      <c r="CV529" s="1044"/>
      <c r="CW529" s="1044"/>
      <c r="CX529" s="1044"/>
      <c r="CY529" s="1044"/>
      <c r="CZ529" s="1044"/>
      <c r="DA529" s="1044"/>
      <c r="DB529" s="1044"/>
      <c r="DC529" s="1044"/>
      <c r="DD529" s="1044"/>
      <c r="DE529" s="1044"/>
      <c r="DF529" s="1044"/>
      <c r="DG529" s="1044"/>
      <c r="DH529" s="1044"/>
      <c r="DI529" s="1044"/>
      <c r="DJ529" s="1044"/>
      <c r="DK529" s="1044"/>
      <c r="DL529" s="1044"/>
      <c r="DM529" s="1044"/>
      <c r="DN529" s="1044"/>
      <c r="DO529" s="1044"/>
      <c r="DP529" s="1044"/>
      <c r="DQ529" s="1044"/>
      <c r="DR529" s="1044"/>
      <c r="DS529" s="1044"/>
      <c r="DT529" s="1044"/>
      <c r="DU529" s="1044"/>
      <c r="DV529" s="1044"/>
      <c r="DW529" s="1044"/>
      <c r="DX529" s="1044"/>
      <c r="DY529" s="1044"/>
      <c r="DZ529" s="1044"/>
      <c r="EA529" s="1044"/>
      <c r="EB529" s="1044"/>
      <c r="EC529" s="1044"/>
      <c r="ED529" s="1044"/>
      <c r="EE529" s="1044"/>
      <c r="EF529" s="1044"/>
      <c r="EG529" s="1044"/>
      <c r="EH529" s="1044"/>
      <c r="EI529" s="1044"/>
      <c r="EJ529" s="1044"/>
      <c r="EK529" s="1044"/>
      <c r="EL529" s="1044"/>
      <c r="EM529" s="1044"/>
      <c r="EN529" s="1044"/>
      <c r="EO529" s="1044"/>
      <c r="EP529" s="1044"/>
      <c r="EQ529" s="1044"/>
      <c r="ER529" s="1044"/>
      <c r="ES529" s="1044"/>
      <c r="ET529" s="1044"/>
      <c r="EU529" s="1044"/>
      <c r="EV529" s="1044"/>
      <c r="EW529" s="1044"/>
      <c r="EX529" s="1044"/>
      <c r="EY529" s="1044"/>
      <c r="EZ529" s="1044"/>
      <c r="FA529" s="1044"/>
      <c r="FB529" s="1044"/>
      <c r="FC529" s="1044"/>
      <c r="FD529" s="1044"/>
      <c r="FE529" s="1044"/>
      <c r="FF529" s="1044"/>
      <c r="FG529" s="1044"/>
      <c r="FH529" s="1044"/>
      <c r="FI529" s="1044"/>
      <c r="FJ529" s="1044"/>
      <c r="FK529" s="1044"/>
      <c r="FL529" s="1044"/>
      <c r="FM529" s="1044"/>
      <c r="FN529" s="1044"/>
      <c r="FO529" s="1044"/>
      <c r="FP529" s="1044"/>
      <c r="FQ529" s="1044"/>
      <c r="FR529" s="1044"/>
      <c r="FS529" s="1044"/>
      <c r="FT529" s="1044"/>
      <c r="FU529" s="1044"/>
      <c r="FV529" s="1044"/>
      <c r="FW529" s="1044"/>
      <c r="FX529" s="1044"/>
      <c r="FY529" s="1044"/>
      <c r="FZ529" s="1044"/>
      <c r="GA529" s="1044"/>
      <c r="GB529" s="1044"/>
      <c r="GC529" s="1044"/>
      <c r="GD529" s="1044"/>
      <c r="GE529" s="1044"/>
      <c r="GF529" s="1044"/>
      <c r="GG529" s="1044"/>
      <c r="GH529" s="1044"/>
      <c r="GI529" s="1044"/>
      <c r="GJ529" s="1044"/>
      <c r="GK529" s="1044"/>
      <c r="GL529" s="1044"/>
      <c r="GM529" s="1044"/>
      <c r="GN529" s="1044"/>
      <c r="GO529" s="1044"/>
      <c r="GP529" s="1044"/>
      <c r="GQ529" s="1044"/>
      <c r="GR529" s="1044"/>
      <c r="GS529" s="1044"/>
    </row>
    <row r="530" spans="1:201" s="1138" customFormat="1" ht="12.75">
      <c r="A530" s="1137"/>
      <c r="B530" s="1085"/>
      <c r="D530" s="1139"/>
      <c r="F530" s="1085"/>
      <c r="G530" s="1044"/>
      <c r="H530" s="1044"/>
      <c r="I530" s="1044"/>
      <c r="J530" s="1044"/>
      <c r="K530" s="1044"/>
      <c r="L530" s="1044"/>
      <c r="M530" s="1044"/>
      <c r="N530" s="1044"/>
      <c r="O530" s="1044"/>
      <c r="P530" s="1044"/>
      <c r="Q530" s="1044"/>
      <c r="R530" s="1044"/>
      <c r="S530" s="1044"/>
      <c r="T530" s="1044"/>
      <c r="U530" s="1044"/>
      <c r="V530" s="1044"/>
      <c r="W530" s="1044"/>
      <c r="X530" s="1044"/>
      <c r="Y530" s="1044"/>
      <c r="Z530" s="1044"/>
      <c r="AA530" s="1044"/>
      <c r="AB530" s="1044"/>
      <c r="AC530" s="1044"/>
      <c r="AD530" s="1044"/>
      <c r="AE530" s="1044"/>
      <c r="AF530" s="1044"/>
      <c r="AG530" s="1044"/>
      <c r="AH530" s="1044"/>
      <c r="AI530" s="1044"/>
      <c r="AJ530" s="1044"/>
      <c r="AK530" s="1044"/>
      <c r="AL530" s="1044"/>
      <c r="AM530" s="1044"/>
      <c r="AN530" s="1044"/>
      <c r="AO530" s="1044"/>
      <c r="AP530" s="1044"/>
      <c r="AQ530" s="1044"/>
      <c r="AR530" s="1044"/>
      <c r="AS530" s="1044"/>
      <c r="AT530" s="1044"/>
      <c r="AU530" s="1044"/>
      <c r="AV530" s="1044"/>
      <c r="AW530" s="1044"/>
      <c r="AX530" s="1044"/>
      <c r="AY530" s="1044"/>
      <c r="AZ530" s="1044"/>
      <c r="BA530" s="1044"/>
      <c r="BB530" s="1044"/>
      <c r="BC530" s="1044"/>
      <c r="BD530" s="1044"/>
      <c r="BE530" s="1044"/>
      <c r="BF530" s="1044"/>
      <c r="BG530" s="1044"/>
      <c r="BH530" s="1044"/>
      <c r="BI530" s="1044"/>
      <c r="BJ530" s="1044"/>
      <c r="BK530" s="1044"/>
      <c r="BL530" s="1044"/>
      <c r="BM530" s="1044"/>
      <c r="BN530" s="1044"/>
      <c r="BO530" s="1044"/>
      <c r="BP530" s="1044"/>
      <c r="BQ530" s="1044"/>
      <c r="BR530" s="1044"/>
      <c r="BS530" s="1044"/>
      <c r="BT530" s="1044"/>
      <c r="BU530" s="1044"/>
      <c r="BV530" s="1044"/>
      <c r="BW530" s="1044"/>
      <c r="BX530" s="1044"/>
      <c r="BY530" s="1044"/>
      <c r="BZ530" s="1044"/>
      <c r="CA530" s="1044"/>
      <c r="CB530" s="1044"/>
      <c r="CC530" s="1044"/>
      <c r="CD530" s="1044"/>
      <c r="CE530" s="1044"/>
      <c r="CF530" s="1044"/>
      <c r="CG530" s="1044"/>
      <c r="CH530" s="1044"/>
      <c r="CI530" s="1044"/>
      <c r="CJ530" s="1044"/>
      <c r="CK530" s="1044"/>
      <c r="CL530" s="1044"/>
      <c r="CM530" s="1044"/>
      <c r="CN530" s="1044"/>
      <c r="CO530" s="1044"/>
      <c r="CP530" s="1044"/>
      <c r="CQ530" s="1044"/>
      <c r="CR530" s="1044"/>
      <c r="CS530" s="1044"/>
      <c r="CT530" s="1044"/>
      <c r="CU530" s="1044"/>
      <c r="CV530" s="1044"/>
      <c r="CW530" s="1044"/>
      <c r="CX530" s="1044"/>
      <c r="CY530" s="1044"/>
      <c r="CZ530" s="1044"/>
      <c r="DA530" s="1044"/>
      <c r="DB530" s="1044"/>
      <c r="DC530" s="1044"/>
      <c r="DD530" s="1044"/>
      <c r="DE530" s="1044"/>
      <c r="DF530" s="1044"/>
      <c r="DG530" s="1044"/>
      <c r="DH530" s="1044"/>
      <c r="DI530" s="1044"/>
      <c r="DJ530" s="1044"/>
      <c r="DK530" s="1044"/>
      <c r="DL530" s="1044"/>
      <c r="DM530" s="1044"/>
      <c r="DN530" s="1044"/>
      <c r="DO530" s="1044"/>
      <c r="DP530" s="1044"/>
      <c r="DQ530" s="1044"/>
      <c r="DR530" s="1044"/>
      <c r="DS530" s="1044"/>
      <c r="DT530" s="1044"/>
      <c r="DU530" s="1044"/>
      <c r="DV530" s="1044"/>
      <c r="DW530" s="1044"/>
      <c r="DX530" s="1044"/>
      <c r="DY530" s="1044"/>
      <c r="DZ530" s="1044"/>
      <c r="EA530" s="1044"/>
      <c r="EB530" s="1044"/>
      <c r="EC530" s="1044"/>
      <c r="ED530" s="1044"/>
      <c r="EE530" s="1044"/>
      <c r="EF530" s="1044"/>
      <c r="EG530" s="1044"/>
      <c r="EH530" s="1044"/>
      <c r="EI530" s="1044"/>
      <c r="EJ530" s="1044"/>
      <c r="EK530" s="1044"/>
      <c r="EL530" s="1044"/>
      <c r="EM530" s="1044"/>
      <c r="EN530" s="1044"/>
      <c r="EO530" s="1044"/>
      <c r="EP530" s="1044"/>
      <c r="EQ530" s="1044"/>
      <c r="ER530" s="1044"/>
      <c r="ES530" s="1044"/>
      <c r="ET530" s="1044"/>
      <c r="EU530" s="1044"/>
      <c r="EV530" s="1044"/>
      <c r="EW530" s="1044"/>
      <c r="EX530" s="1044"/>
      <c r="EY530" s="1044"/>
      <c r="EZ530" s="1044"/>
      <c r="FA530" s="1044"/>
      <c r="FB530" s="1044"/>
      <c r="FC530" s="1044"/>
      <c r="FD530" s="1044"/>
      <c r="FE530" s="1044"/>
      <c r="FF530" s="1044"/>
      <c r="FG530" s="1044"/>
      <c r="FH530" s="1044"/>
      <c r="FI530" s="1044"/>
      <c r="FJ530" s="1044"/>
      <c r="FK530" s="1044"/>
      <c r="FL530" s="1044"/>
      <c r="FM530" s="1044"/>
      <c r="FN530" s="1044"/>
      <c r="FO530" s="1044"/>
      <c r="FP530" s="1044"/>
      <c r="FQ530" s="1044"/>
      <c r="FR530" s="1044"/>
      <c r="FS530" s="1044"/>
      <c r="FT530" s="1044"/>
      <c r="FU530" s="1044"/>
      <c r="FV530" s="1044"/>
      <c r="FW530" s="1044"/>
      <c r="FX530" s="1044"/>
      <c r="FY530" s="1044"/>
      <c r="FZ530" s="1044"/>
      <c r="GA530" s="1044"/>
      <c r="GB530" s="1044"/>
      <c r="GC530" s="1044"/>
      <c r="GD530" s="1044"/>
      <c r="GE530" s="1044"/>
      <c r="GF530" s="1044"/>
      <c r="GG530" s="1044"/>
      <c r="GH530" s="1044"/>
      <c r="GI530" s="1044"/>
      <c r="GJ530" s="1044"/>
      <c r="GK530" s="1044"/>
      <c r="GL530" s="1044"/>
      <c r="GM530" s="1044"/>
      <c r="GN530" s="1044"/>
      <c r="GO530" s="1044"/>
      <c r="GP530" s="1044"/>
      <c r="GQ530" s="1044"/>
      <c r="GR530" s="1044"/>
      <c r="GS530" s="1044"/>
    </row>
    <row r="531" spans="1:201" s="1138" customFormat="1" ht="12.75">
      <c r="A531" s="1137"/>
      <c r="B531" s="1085"/>
      <c r="D531" s="1139"/>
      <c r="F531" s="1085"/>
      <c r="G531" s="1044"/>
      <c r="H531" s="1044"/>
      <c r="I531" s="1044"/>
      <c r="J531" s="1044"/>
      <c r="K531" s="1044"/>
      <c r="L531" s="1044"/>
      <c r="M531" s="1044"/>
      <c r="N531" s="1044"/>
      <c r="O531" s="1044"/>
      <c r="P531" s="1044"/>
      <c r="Q531" s="1044"/>
      <c r="R531" s="1044"/>
      <c r="S531" s="1044"/>
      <c r="T531" s="1044"/>
      <c r="U531" s="1044"/>
      <c r="V531" s="1044"/>
      <c r="W531" s="1044"/>
      <c r="X531" s="1044"/>
      <c r="Y531" s="1044"/>
      <c r="Z531" s="1044"/>
      <c r="AA531" s="1044"/>
      <c r="AB531" s="1044"/>
      <c r="AC531" s="1044"/>
      <c r="AD531" s="1044"/>
      <c r="AE531" s="1044"/>
      <c r="AF531" s="1044"/>
      <c r="AG531" s="1044"/>
      <c r="AH531" s="1044"/>
      <c r="AI531" s="1044"/>
      <c r="AJ531" s="1044"/>
      <c r="AK531" s="1044"/>
      <c r="AL531" s="1044"/>
      <c r="AM531" s="1044"/>
      <c r="AN531" s="1044"/>
      <c r="AO531" s="1044"/>
      <c r="AP531" s="1044"/>
      <c r="AQ531" s="1044"/>
      <c r="AR531" s="1044"/>
      <c r="AS531" s="1044"/>
      <c r="AT531" s="1044"/>
      <c r="AU531" s="1044"/>
      <c r="AV531" s="1044"/>
      <c r="AW531" s="1044"/>
      <c r="AX531" s="1044"/>
      <c r="AY531" s="1044"/>
      <c r="AZ531" s="1044"/>
      <c r="BA531" s="1044"/>
      <c r="BB531" s="1044"/>
      <c r="BC531" s="1044"/>
      <c r="BD531" s="1044"/>
      <c r="BE531" s="1044"/>
      <c r="BF531" s="1044"/>
      <c r="BG531" s="1044"/>
      <c r="BH531" s="1044"/>
      <c r="BI531" s="1044"/>
      <c r="BJ531" s="1044"/>
      <c r="BK531" s="1044"/>
      <c r="BL531" s="1044"/>
      <c r="BM531" s="1044"/>
      <c r="BN531" s="1044"/>
      <c r="BO531" s="1044"/>
      <c r="BP531" s="1044"/>
      <c r="BQ531" s="1044"/>
      <c r="BR531" s="1044"/>
      <c r="BS531" s="1044"/>
      <c r="BT531" s="1044"/>
      <c r="BU531" s="1044"/>
      <c r="BV531" s="1044"/>
      <c r="BW531" s="1044"/>
      <c r="BX531" s="1044"/>
      <c r="BY531" s="1044"/>
      <c r="BZ531" s="1044"/>
      <c r="CA531" s="1044"/>
      <c r="CB531" s="1044"/>
      <c r="CC531" s="1044"/>
      <c r="CD531" s="1044"/>
      <c r="CE531" s="1044"/>
      <c r="CF531" s="1044"/>
      <c r="CG531" s="1044"/>
      <c r="CH531" s="1044"/>
      <c r="CI531" s="1044"/>
      <c r="CJ531" s="1044"/>
      <c r="CK531" s="1044"/>
      <c r="CL531" s="1044"/>
      <c r="CM531" s="1044"/>
      <c r="CN531" s="1044"/>
      <c r="CO531" s="1044"/>
      <c r="CP531" s="1044"/>
      <c r="CQ531" s="1044"/>
      <c r="CR531" s="1044"/>
      <c r="CS531" s="1044"/>
      <c r="CT531" s="1044"/>
      <c r="CU531" s="1044"/>
      <c r="CV531" s="1044"/>
      <c r="CW531" s="1044"/>
      <c r="CX531" s="1044"/>
      <c r="CY531" s="1044"/>
      <c r="CZ531" s="1044"/>
      <c r="DA531" s="1044"/>
      <c r="DB531" s="1044"/>
      <c r="DC531" s="1044"/>
      <c r="DD531" s="1044"/>
      <c r="DE531" s="1044"/>
      <c r="DF531" s="1044"/>
      <c r="DG531" s="1044"/>
      <c r="DH531" s="1044"/>
      <c r="DI531" s="1044"/>
      <c r="DJ531" s="1044"/>
      <c r="DK531" s="1044"/>
      <c r="DL531" s="1044"/>
      <c r="DM531" s="1044"/>
      <c r="DN531" s="1044"/>
      <c r="DO531" s="1044"/>
      <c r="DP531" s="1044"/>
      <c r="DQ531" s="1044"/>
      <c r="DR531" s="1044"/>
      <c r="DS531" s="1044"/>
      <c r="DT531" s="1044"/>
      <c r="DU531" s="1044"/>
      <c r="DV531" s="1044"/>
      <c r="DW531" s="1044"/>
      <c r="DX531" s="1044"/>
      <c r="DY531" s="1044"/>
      <c r="DZ531" s="1044"/>
      <c r="EA531" s="1044"/>
      <c r="EB531" s="1044"/>
      <c r="EC531" s="1044"/>
      <c r="ED531" s="1044"/>
      <c r="EE531" s="1044"/>
      <c r="EF531" s="1044"/>
      <c r="EG531" s="1044"/>
      <c r="EH531" s="1044"/>
      <c r="EI531" s="1044"/>
      <c r="EJ531" s="1044"/>
      <c r="EK531" s="1044"/>
      <c r="EL531" s="1044"/>
      <c r="EM531" s="1044"/>
      <c r="EN531" s="1044"/>
      <c r="EO531" s="1044"/>
      <c r="EP531" s="1044"/>
      <c r="EQ531" s="1044"/>
      <c r="ER531" s="1044"/>
      <c r="ES531" s="1044"/>
      <c r="ET531" s="1044"/>
      <c r="EU531" s="1044"/>
      <c r="EV531" s="1044"/>
      <c r="EW531" s="1044"/>
      <c r="EX531" s="1044"/>
      <c r="EY531" s="1044"/>
      <c r="EZ531" s="1044"/>
      <c r="FA531" s="1044"/>
      <c r="FB531" s="1044"/>
      <c r="FC531" s="1044"/>
      <c r="FD531" s="1044"/>
      <c r="FE531" s="1044"/>
      <c r="FF531" s="1044"/>
      <c r="FG531" s="1044"/>
      <c r="FH531" s="1044"/>
      <c r="FI531" s="1044"/>
      <c r="FJ531" s="1044"/>
      <c r="FK531" s="1044"/>
      <c r="FL531" s="1044"/>
      <c r="FM531" s="1044"/>
      <c r="FN531" s="1044"/>
      <c r="FO531" s="1044"/>
      <c r="FP531" s="1044"/>
      <c r="FQ531" s="1044"/>
      <c r="FR531" s="1044"/>
      <c r="FS531" s="1044"/>
      <c r="FT531" s="1044"/>
      <c r="FU531" s="1044"/>
      <c r="FV531" s="1044"/>
      <c r="FW531" s="1044"/>
      <c r="FX531" s="1044"/>
      <c r="FY531" s="1044"/>
      <c r="FZ531" s="1044"/>
      <c r="GA531" s="1044"/>
      <c r="GB531" s="1044"/>
      <c r="GC531" s="1044"/>
      <c r="GD531" s="1044"/>
      <c r="GE531" s="1044"/>
      <c r="GF531" s="1044"/>
      <c r="GG531" s="1044"/>
      <c r="GH531" s="1044"/>
      <c r="GI531" s="1044"/>
      <c r="GJ531" s="1044"/>
      <c r="GK531" s="1044"/>
      <c r="GL531" s="1044"/>
      <c r="GM531" s="1044"/>
      <c r="GN531" s="1044"/>
      <c r="GO531" s="1044"/>
      <c r="GP531" s="1044"/>
      <c r="GQ531" s="1044"/>
      <c r="GR531" s="1044"/>
      <c r="GS531" s="1044"/>
    </row>
    <row r="532" spans="1:201" s="1138" customFormat="1" ht="12.75">
      <c r="A532" s="1137"/>
      <c r="B532" s="1085"/>
      <c r="D532" s="1139"/>
      <c r="F532" s="1085"/>
      <c r="G532" s="1044"/>
      <c r="H532" s="1044"/>
      <c r="I532" s="1044"/>
      <c r="J532" s="1044"/>
      <c r="K532" s="1044"/>
      <c r="L532" s="1044"/>
      <c r="M532" s="1044"/>
      <c r="N532" s="1044"/>
      <c r="O532" s="1044"/>
      <c r="P532" s="1044"/>
      <c r="Q532" s="1044"/>
      <c r="R532" s="1044"/>
      <c r="S532" s="1044"/>
      <c r="T532" s="1044"/>
      <c r="U532" s="1044"/>
      <c r="V532" s="1044"/>
      <c r="W532" s="1044"/>
      <c r="X532" s="1044"/>
      <c r="Y532" s="1044"/>
      <c r="Z532" s="1044"/>
      <c r="AA532" s="1044"/>
      <c r="AB532" s="1044"/>
      <c r="AC532" s="1044"/>
      <c r="AD532" s="1044"/>
      <c r="AE532" s="1044"/>
      <c r="AF532" s="1044"/>
      <c r="AG532" s="1044"/>
      <c r="AH532" s="1044"/>
      <c r="AI532" s="1044"/>
      <c r="AJ532" s="1044"/>
      <c r="AK532" s="1044"/>
      <c r="AL532" s="1044"/>
      <c r="AM532" s="1044"/>
      <c r="AN532" s="1044"/>
      <c r="AO532" s="1044"/>
      <c r="AP532" s="1044"/>
      <c r="AQ532" s="1044"/>
      <c r="AR532" s="1044"/>
      <c r="AS532" s="1044"/>
      <c r="AT532" s="1044"/>
      <c r="AU532" s="1044"/>
      <c r="AV532" s="1044"/>
      <c r="AW532" s="1044"/>
      <c r="AX532" s="1044"/>
      <c r="AY532" s="1044"/>
      <c r="AZ532" s="1044"/>
      <c r="BA532" s="1044"/>
      <c r="BB532" s="1044"/>
      <c r="BC532" s="1044"/>
      <c r="BD532" s="1044"/>
      <c r="BE532" s="1044"/>
      <c r="BF532" s="1044"/>
      <c r="BG532" s="1044"/>
      <c r="BH532" s="1044"/>
      <c r="BI532" s="1044"/>
      <c r="BJ532" s="1044"/>
      <c r="BK532" s="1044"/>
      <c r="BL532" s="1044"/>
      <c r="BM532" s="1044"/>
      <c r="BN532" s="1044"/>
      <c r="BO532" s="1044"/>
      <c r="BP532" s="1044"/>
      <c r="BQ532" s="1044"/>
      <c r="BR532" s="1044"/>
      <c r="BS532" s="1044"/>
      <c r="BT532" s="1044"/>
      <c r="BU532" s="1044"/>
      <c r="BV532" s="1044"/>
      <c r="BW532" s="1044"/>
      <c r="BX532" s="1044"/>
      <c r="BY532" s="1044"/>
      <c r="BZ532" s="1044"/>
      <c r="CA532" s="1044"/>
      <c r="CB532" s="1044"/>
      <c r="CC532" s="1044"/>
      <c r="CD532" s="1044"/>
      <c r="CE532" s="1044"/>
      <c r="CF532" s="1044"/>
      <c r="CG532" s="1044"/>
      <c r="CH532" s="1044"/>
      <c r="CI532" s="1044"/>
      <c r="CJ532" s="1044"/>
      <c r="CK532" s="1044"/>
      <c r="CL532" s="1044"/>
      <c r="CM532" s="1044"/>
      <c r="CN532" s="1044"/>
      <c r="CO532" s="1044"/>
      <c r="CP532" s="1044"/>
      <c r="CQ532" s="1044"/>
      <c r="CR532" s="1044"/>
      <c r="CS532" s="1044"/>
      <c r="CT532" s="1044"/>
      <c r="CU532" s="1044"/>
      <c r="CV532" s="1044"/>
      <c r="CW532" s="1044"/>
      <c r="CX532" s="1044"/>
      <c r="CY532" s="1044"/>
      <c r="CZ532" s="1044"/>
      <c r="DA532" s="1044"/>
      <c r="DB532" s="1044"/>
      <c r="DC532" s="1044"/>
      <c r="DD532" s="1044"/>
      <c r="DE532" s="1044"/>
      <c r="DF532" s="1044"/>
      <c r="DG532" s="1044"/>
      <c r="DH532" s="1044"/>
      <c r="DI532" s="1044"/>
      <c r="DJ532" s="1044"/>
      <c r="DK532" s="1044"/>
      <c r="DL532" s="1044"/>
      <c r="DM532" s="1044"/>
      <c r="DN532" s="1044"/>
      <c r="DO532" s="1044"/>
      <c r="DP532" s="1044"/>
      <c r="DQ532" s="1044"/>
      <c r="DR532" s="1044"/>
      <c r="DS532" s="1044"/>
      <c r="DT532" s="1044"/>
      <c r="DU532" s="1044"/>
      <c r="DV532" s="1044"/>
      <c r="DW532" s="1044"/>
      <c r="DX532" s="1044"/>
      <c r="DY532" s="1044"/>
      <c r="DZ532" s="1044"/>
      <c r="EA532" s="1044"/>
      <c r="EB532" s="1044"/>
      <c r="EC532" s="1044"/>
      <c r="ED532" s="1044"/>
      <c r="EE532" s="1044"/>
      <c r="EF532" s="1044"/>
      <c r="EG532" s="1044"/>
      <c r="EH532" s="1044"/>
      <c r="EI532" s="1044"/>
      <c r="EJ532" s="1044"/>
      <c r="EK532" s="1044"/>
      <c r="EL532" s="1044"/>
      <c r="EM532" s="1044"/>
      <c r="EN532" s="1044"/>
      <c r="EO532" s="1044"/>
      <c r="EP532" s="1044"/>
      <c r="EQ532" s="1044"/>
      <c r="ER532" s="1044"/>
      <c r="ES532" s="1044"/>
      <c r="ET532" s="1044"/>
      <c r="EU532" s="1044"/>
      <c r="EV532" s="1044"/>
      <c r="EW532" s="1044"/>
      <c r="EX532" s="1044"/>
      <c r="EY532" s="1044"/>
      <c r="EZ532" s="1044"/>
      <c r="FA532" s="1044"/>
      <c r="FB532" s="1044"/>
      <c r="FC532" s="1044"/>
      <c r="FD532" s="1044"/>
      <c r="FE532" s="1044"/>
      <c r="FF532" s="1044"/>
      <c r="FG532" s="1044"/>
      <c r="FH532" s="1044"/>
      <c r="FI532" s="1044"/>
      <c r="FJ532" s="1044"/>
      <c r="FK532" s="1044"/>
      <c r="FL532" s="1044"/>
      <c r="FM532" s="1044"/>
      <c r="FN532" s="1044"/>
      <c r="FO532" s="1044"/>
      <c r="FP532" s="1044"/>
      <c r="FQ532" s="1044"/>
      <c r="FR532" s="1044"/>
      <c r="FS532" s="1044"/>
      <c r="FT532" s="1044"/>
      <c r="FU532" s="1044"/>
      <c r="FV532" s="1044"/>
      <c r="FW532" s="1044"/>
      <c r="FX532" s="1044"/>
      <c r="FY532" s="1044"/>
      <c r="FZ532" s="1044"/>
      <c r="GA532" s="1044"/>
      <c r="GB532" s="1044"/>
      <c r="GC532" s="1044"/>
      <c r="GD532" s="1044"/>
      <c r="GE532" s="1044"/>
      <c r="GF532" s="1044"/>
      <c r="GG532" s="1044"/>
      <c r="GH532" s="1044"/>
      <c r="GI532" s="1044"/>
      <c r="GJ532" s="1044"/>
      <c r="GK532" s="1044"/>
      <c r="GL532" s="1044"/>
      <c r="GM532" s="1044"/>
      <c r="GN532" s="1044"/>
      <c r="GO532" s="1044"/>
      <c r="GP532" s="1044"/>
      <c r="GQ532" s="1044"/>
      <c r="GR532" s="1044"/>
      <c r="GS532" s="1044"/>
    </row>
    <row r="533" spans="1:201" s="1138" customFormat="1" ht="12.75">
      <c r="A533" s="1137"/>
      <c r="B533" s="1085"/>
      <c r="D533" s="1139"/>
      <c r="F533" s="1085"/>
      <c r="G533" s="1044"/>
      <c r="H533" s="1044"/>
      <c r="I533" s="1044"/>
      <c r="J533" s="1044"/>
      <c r="K533" s="1044"/>
      <c r="L533" s="1044"/>
      <c r="M533" s="1044"/>
      <c r="N533" s="1044"/>
      <c r="O533" s="1044"/>
      <c r="P533" s="1044"/>
      <c r="Q533" s="1044"/>
      <c r="R533" s="1044"/>
      <c r="S533" s="1044"/>
      <c r="T533" s="1044"/>
      <c r="U533" s="1044"/>
      <c r="V533" s="1044"/>
      <c r="W533" s="1044"/>
      <c r="X533" s="1044"/>
      <c r="Y533" s="1044"/>
      <c r="Z533" s="1044"/>
      <c r="AA533" s="1044"/>
      <c r="AB533" s="1044"/>
      <c r="AC533" s="1044"/>
      <c r="AD533" s="1044"/>
      <c r="AE533" s="1044"/>
      <c r="AF533" s="1044"/>
      <c r="AG533" s="1044"/>
      <c r="AH533" s="1044"/>
      <c r="AI533" s="1044"/>
      <c r="AJ533" s="1044"/>
      <c r="AK533" s="1044"/>
      <c r="AL533" s="1044"/>
      <c r="AM533" s="1044"/>
      <c r="AN533" s="1044"/>
      <c r="AO533" s="1044"/>
      <c r="AP533" s="1044"/>
      <c r="AQ533" s="1044"/>
      <c r="AR533" s="1044"/>
      <c r="AS533" s="1044"/>
      <c r="AT533" s="1044"/>
      <c r="AU533" s="1044"/>
      <c r="AV533" s="1044"/>
      <c r="AW533" s="1044"/>
      <c r="AX533" s="1044"/>
      <c r="AY533" s="1044"/>
      <c r="AZ533" s="1044"/>
      <c r="BA533" s="1044"/>
      <c r="BB533" s="1044"/>
      <c r="BC533" s="1044"/>
      <c r="BD533" s="1044"/>
      <c r="BE533" s="1044"/>
      <c r="BF533" s="1044"/>
      <c r="BG533" s="1044"/>
      <c r="BH533" s="1044"/>
      <c r="BI533" s="1044"/>
      <c r="BJ533" s="1044"/>
      <c r="BK533" s="1044"/>
      <c r="BL533" s="1044"/>
      <c r="BM533" s="1044"/>
      <c r="BN533" s="1044"/>
      <c r="BO533" s="1044"/>
      <c r="BP533" s="1044"/>
      <c r="BQ533" s="1044"/>
      <c r="BR533" s="1044"/>
      <c r="BS533" s="1044"/>
      <c r="BT533" s="1044"/>
      <c r="BU533" s="1044"/>
      <c r="BV533" s="1044"/>
      <c r="BW533" s="1044"/>
      <c r="BX533" s="1044"/>
      <c r="BY533" s="1044"/>
      <c r="BZ533" s="1044"/>
      <c r="CA533" s="1044"/>
      <c r="CB533" s="1044"/>
      <c r="CC533" s="1044"/>
      <c r="CD533" s="1044"/>
      <c r="CE533" s="1044"/>
      <c r="CF533" s="1044"/>
      <c r="CG533" s="1044"/>
      <c r="CH533" s="1044"/>
      <c r="CI533" s="1044"/>
      <c r="CJ533" s="1044"/>
      <c r="CK533" s="1044"/>
      <c r="CL533" s="1044"/>
      <c r="CM533" s="1044"/>
      <c r="CN533" s="1044"/>
      <c r="CO533" s="1044"/>
      <c r="CP533" s="1044"/>
      <c r="CQ533" s="1044"/>
      <c r="CR533" s="1044"/>
      <c r="CS533" s="1044"/>
      <c r="CT533" s="1044"/>
      <c r="CU533" s="1044"/>
      <c r="CV533" s="1044"/>
      <c r="CW533" s="1044"/>
      <c r="CX533" s="1044"/>
      <c r="CY533" s="1044"/>
      <c r="CZ533" s="1044"/>
      <c r="DA533" s="1044"/>
      <c r="DB533" s="1044"/>
      <c r="DC533" s="1044"/>
      <c r="DD533" s="1044"/>
      <c r="DE533" s="1044"/>
      <c r="DF533" s="1044"/>
      <c r="DG533" s="1044"/>
      <c r="DH533" s="1044"/>
      <c r="DI533" s="1044"/>
      <c r="DJ533" s="1044"/>
      <c r="DK533" s="1044"/>
      <c r="DL533" s="1044"/>
      <c r="DM533" s="1044"/>
      <c r="DN533" s="1044"/>
      <c r="DO533" s="1044"/>
      <c r="DP533" s="1044"/>
      <c r="DQ533" s="1044"/>
      <c r="DR533" s="1044"/>
      <c r="DS533" s="1044"/>
      <c r="DT533" s="1044"/>
      <c r="DU533" s="1044"/>
      <c r="DV533" s="1044"/>
      <c r="DW533" s="1044"/>
      <c r="DX533" s="1044"/>
      <c r="DY533" s="1044"/>
      <c r="DZ533" s="1044"/>
      <c r="EA533" s="1044"/>
      <c r="EB533" s="1044"/>
      <c r="EC533" s="1044"/>
      <c r="ED533" s="1044"/>
      <c r="EE533" s="1044"/>
      <c r="EF533" s="1044"/>
      <c r="EG533" s="1044"/>
      <c r="EH533" s="1044"/>
      <c r="EI533" s="1044"/>
      <c r="EJ533" s="1044"/>
      <c r="EK533" s="1044"/>
      <c r="EL533" s="1044"/>
      <c r="EM533" s="1044"/>
      <c r="EN533" s="1044"/>
      <c r="EO533" s="1044"/>
      <c r="EP533" s="1044"/>
      <c r="EQ533" s="1044"/>
      <c r="ER533" s="1044"/>
      <c r="ES533" s="1044"/>
      <c r="ET533" s="1044"/>
      <c r="EU533" s="1044"/>
      <c r="EV533" s="1044"/>
      <c r="EW533" s="1044"/>
      <c r="EX533" s="1044"/>
      <c r="EY533" s="1044"/>
      <c r="EZ533" s="1044"/>
      <c r="FA533" s="1044"/>
      <c r="FB533" s="1044"/>
      <c r="FC533" s="1044"/>
      <c r="FD533" s="1044"/>
      <c r="FE533" s="1044"/>
      <c r="FF533" s="1044"/>
      <c r="FG533" s="1044"/>
      <c r="FH533" s="1044"/>
      <c r="FI533" s="1044"/>
      <c r="FJ533" s="1044"/>
      <c r="FK533" s="1044"/>
      <c r="FL533" s="1044"/>
      <c r="FM533" s="1044"/>
      <c r="FN533" s="1044"/>
      <c r="FO533" s="1044"/>
      <c r="FP533" s="1044"/>
      <c r="FQ533" s="1044"/>
      <c r="FR533" s="1044"/>
      <c r="FS533" s="1044"/>
      <c r="FT533" s="1044"/>
      <c r="FU533" s="1044"/>
      <c r="FV533" s="1044"/>
      <c r="FW533" s="1044"/>
      <c r="FX533" s="1044"/>
      <c r="FY533" s="1044"/>
      <c r="FZ533" s="1044"/>
      <c r="GA533" s="1044"/>
      <c r="GB533" s="1044"/>
      <c r="GC533" s="1044"/>
      <c r="GD533" s="1044"/>
      <c r="GE533" s="1044"/>
      <c r="GF533" s="1044"/>
      <c r="GG533" s="1044"/>
      <c r="GH533" s="1044"/>
      <c r="GI533" s="1044"/>
      <c r="GJ533" s="1044"/>
      <c r="GK533" s="1044"/>
      <c r="GL533" s="1044"/>
      <c r="GM533" s="1044"/>
      <c r="GN533" s="1044"/>
      <c r="GO533" s="1044"/>
      <c r="GP533" s="1044"/>
      <c r="GQ533" s="1044"/>
      <c r="GR533" s="1044"/>
      <c r="GS533" s="1044"/>
    </row>
    <row r="534" spans="1:201" s="1138" customFormat="1" ht="12.75">
      <c r="A534" s="1137"/>
      <c r="B534" s="1085"/>
      <c r="D534" s="1139"/>
      <c r="F534" s="1085"/>
      <c r="G534" s="1044"/>
      <c r="H534" s="1044"/>
      <c r="I534" s="1044"/>
      <c r="J534" s="1044"/>
      <c r="K534" s="1044"/>
      <c r="L534" s="1044"/>
      <c r="M534" s="1044"/>
      <c r="N534" s="1044"/>
      <c r="O534" s="1044"/>
      <c r="P534" s="1044"/>
      <c r="Q534" s="1044"/>
      <c r="R534" s="1044"/>
      <c r="S534" s="1044"/>
      <c r="T534" s="1044"/>
      <c r="U534" s="1044"/>
      <c r="V534" s="1044"/>
      <c r="W534" s="1044"/>
      <c r="X534" s="1044"/>
      <c r="Y534" s="1044"/>
      <c r="Z534" s="1044"/>
      <c r="AA534" s="1044"/>
      <c r="AB534" s="1044"/>
      <c r="AC534" s="1044"/>
      <c r="AD534" s="1044"/>
      <c r="AE534" s="1044"/>
      <c r="AF534" s="1044"/>
      <c r="AG534" s="1044"/>
      <c r="AH534" s="1044"/>
      <c r="AI534" s="1044"/>
      <c r="AJ534" s="1044"/>
      <c r="AK534" s="1044"/>
      <c r="AL534" s="1044"/>
      <c r="AM534" s="1044"/>
      <c r="AN534" s="1044"/>
      <c r="AO534" s="1044"/>
      <c r="AP534" s="1044"/>
      <c r="AQ534" s="1044"/>
      <c r="AR534" s="1044"/>
      <c r="AS534" s="1044"/>
      <c r="AT534" s="1044"/>
      <c r="AU534" s="1044"/>
      <c r="AV534" s="1044"/>
      <c r="AW534" s="1044"/>
      <c r="AX534" s="1044"/>
      <c r="AY534" s="1044"/>
      <c r="AZ534" s="1044"/>
      <c r="BA534" s="1044"/>
      <c r="BB534" s="1044"/>
      <c r="BC534" s="1044"/>
      <c r="BD534" s="1044"/>
      <c r="BE534" s="1044"/>
      <c r="BF534" s="1044"/>
      <c r="BG534" s="1044"/>
      <c r="BH534" s="1044"/>
      <c r="BI534" s="1044"/>
      <c r="BJ534" s="1044"/>
      <c r="BK534" s="1044"/>
      <c r="BL534" s="1044"/>
      <c r="BM534" s="1044"/>
      <c r="BN534" s="1044"/>
      <c r="BO534" s="1044"/>
      <c r="BP534" s="1044"/>
      <c r="BQ534" s="1044"/>
      <c r="BR534" s="1044"/>
      <c r="BS534" s="1044"/>
      <c r="BT534" s="1044"/>
      <c r="BU534" s="1044"/>
      <c r="BV534" s="1044"/>
      <c r="BW534" s="1044"/>
      <c r="BX534" s="1044"/>
      <c r="BY534" s="1044"/>
      <c r="BZ534" s="1044"/>
      <c r="CA534" s="1044"/>
      <c r="CB534" s="1044"/>
      <c r="CC534" s="1044"/>
      <c r="CD534" s="1044"/>
      <c r="CE534" s="1044"/>
      <c r="CF534" s="1044"/>
      <c r="CG534" s="1044"/>
      <c r="CH534" s="1044"/>
      <c r="CI534" s="1044"/>
      <c r="CJ534" s="1044"/>
      <c r="CK534" s="1044"/>
      <c r="CL534" s="1044"/>
      <c r="CM534" s="1044"/>
      <c r="CN534" s="1044"/>
      <c r="CO534" s="1044"/>
      <c r="CP534" s="1044"/>
      <c r="CQ534" s="1044"/>
      <c r="CR534" s="1044"/>
      <c r="CS534" s="1044"/>
      <c r="CT534" s="1044"/>
      <c r="CU534" s="1044"/>
      <c r="CV534" s="1044"/>
      <c r="CW534" s="1044"/>
      <c r="CX534" s="1044"/>
      <c r="CY534" s="1044"/>
      <c r="CZ534" s="1044"/>
      <c r="DA534" s="1044"/>
      <c r="DB534" s="1044"/>
      <c r="DC534" s="1044"/>
      <c r="DD534" s="1044"/>
      <c r="DE534" s="1044"/>
      <c r="DF534" s="1044"/>
      <c r="DG534" s="1044"/>
      <c r="DH534" s="1044"/>
      <c r="DI534" s="1044"/>
      <c r="DJ534" s="1044"/>
      <c r="DK534" s="1044"/>
      <c r="DL534" s="1044"/>
      <c r="DM534" s="1044"/>
      <c r="DN534" s="1044"/>
      <c r="DO534" s="1044"/>
      <c r="DP534" s="1044"/>
      <c r="DQ534" s="1044"/>
      <c r="DR534" s="1044"/>
      <c r="DS534" s="1044"/>
      <c r="DT534" s="1044"/>
      <c r="DU534" s="1044"/>
      <c r="DV534" s="1044"/>
      <c r="DW534" s="1044"/>
      <c r="DX534" s="1044"/>
      <c r="DY534" s="1044"/>
      <c r="DZ534" s="1044"/>
      <c r="EA534" s="1044"/>
      <c r="EB534" s="1044"/>
      <c r="EC534" s="1044"/>
      <c r="ED534" s="1044"/>
      <c r="EE534" s="1044"/>
      <c r="EF534" s="1044"/>
      <c r="EG534" s="1044"/>
      <c r="EH534" s="1044"/>
      <c r="EI534" s="1044"/>
      <c r="EJ534" s="1044"/>
      <c r="EK534" s="1044"/>
      <c r="EL534" s="1044"/>
      <c r="EM534" s="1044"/>
      <c r="EN534" s="1044"/>
      <c r="EO534" s="1044"/>
      <c r="EP534" s="1044"/>
      <c r="EQ534" s="1044"/>
      <c r="ER534" s="1044"/>
      <c r="ES534" s="1044"/>
      <c r="ET534" s="1044"/>
      <c r="EU534" s="1044"/>
      <c r="EV534" s="1044"/>
      <c r="EW534" s="1044"/>
      <c r="EX534" s="1044"/>
      <c r="EY534" s="1044"/>
      <c r="EZ534" s="1044"/>
      <c r="FA534" s="1044"/>
      <c r="FB534" s="1044"/>
      <c r="FC534" s="1044"/>
      <c r="FD534" s="1044"/>
      <c r="FE534" s="1044"/>
      <c r="FF534" s="1044"/>
      <c r="FG534" s="1044"/>
      <c r="FH534" s="1044"/>
      <c r="FI534" s="1044"/>
      <c r="FJ534" s="1044"/>
      <c r="FK534" s="1044"/>
      <c r="FL534" s="1044"/>
      <c r="FM534" s="1044"/>
      <c r="FN534" s="1044"/>
      <c r="FO534" s="1044"/>
      <c r="FP534" s="1044"/>
      <c r="FQ534" s="1044"/>
      <c r="FR534" s="1044"/>
      <c r="FS534" s="1044"/>
      <c r="FT534" s="1044"/>
      <c r="FU534" s="1044"/>
      <c r="FV534" s="1044"/>
      <c r="FW534" s="1044"/>
      <c r="FX534" s="1044"/>
      <c r="FY534" s="1044"/>
      <c r="FZ534" s="1044"/>
      <c r="GA534" s="1044"/>
      <c r="GB534" s="1044"/>
      <c r="GC534" s="1044"/>
      <c r="GD534" s="1044"/>
      <c r="GE534" s="1044"/>
      <c r="GF534" s="1044"/>
      <c r="GG534" s="1044"/>
      <c r="GH534" s="1044"/>
      <c r="GI534" s="1044"/>
      <c r="GJ534" s="1044"/>
      <c r="GK534" s="1044"/>
      <c r="GL534" s="1044"/>
      <c r="GM534" s="1044"/>
      <c r="GN534" s="1044"/>
      <c r="GO534" s="1044"/>
      <c r="GP534" s="1044"/>
      <c r="GQ534" s="1044"/>
      <c r="GR534" s="1044"/>
      <c r="GS534" s="1044"/>
    </row>
    <row r="535" spans="1:201" s="1138" customFormat="1" ht="12.75">
      <c r="A535" s="1137"/>
      <c r="B535" s="1085"/>
      <c r="D535" s="1139"/>
      <c r="F535" s="1085"/>
      <c r="G535" s="1044"/>
      <c r="H535" s="1044"/>
      <c r="I535" s="1044"/>
      <c r="J535" s="1044"/>
      <c r="K535" s="1044"/>
      <c r="L535" s="1044"/>
      <c r="M535" s="1044"/>
      <c r="N535" s="1044"/>
      <c r="O535" s="1044"/>
      <c r="P535" s="1044"/>
      <c r="Q535" s="1044"/>
      <c r="R535" s="1044"/>
      <c r="S535" s="1044"/>
      <c r="T535" s="1044"/>
      <c r="U535" s="1044"/>
      <c r="V535" s="1044"/>
      <c r="W535" s="1044"/>
      <c r="X535" s="1044"/>
      <c r="Y535" s="1044"/>
      <c r="Z535" s="1044"/>
      <c r="AA535" s="1044"/>
      <c r="AB535" s="1044"/>
      <c r="AC535" s="1044"/>
      <c r="AD535" s="1044"/>
      <c r="AE535" s="1044"/>
      <c r="AF535" s="1044"/>
      <c r="AG535" s="1044"/>
      <c r="AH535" s="1044"/>
      <c r="AI535" s="1044"/>
      <c r="AJ535" s="1044"/>
      <c r="AK535" s="1044"/>
      <c r="AL535" s="1044"/>
      <c r="AM535" s="1044"/>
      <c r="AN535" s="1044"/>
      <c r="AO535" s="1044"/>
      <c r="AP535" s="1044"/>
      <c r="AQ535" s="1044"/>
      <c r="AR535" s="1044"/>
      <c r="AS535" s="1044"/>
      <c r="AT535" s="1044"/>
      <c r="AU535" s="1044"/>
      <c r="AV535" s="1044"/>
      <c r="AW535" s="1044"/>
      <c r="AX535" s="1044"/>
      <c r="AY535" s="1044"/>
      <c r="AZ535" s="1044"/>
      <c r="BA535" s="1044"/>
      <c r="BB535" s="1044"/>
      <c r="BC535" s="1044"/>
      <c r="BD535" s="1044"/>
      <c r="BE535" s="1044"/>
      <c r="BF535" s="1044"/>
      <c r="BG535" s="1044"/>
      <c r="BH535" s="1044"/>
      <c r="BI535" s="1044"/>
      <c r="BJ535" s="1044"/>
      <c r="BK535" s="1044"/>
      <c r="BL535" s="1044"/>
      <c r="BM535" s="1044"/>
      <c r="BN535" s="1044"/>
      <c r="BO535" s="1044"/>
      <c r="BP535" s="1044"/>
      <c r="BQ535" s="1044"/>
      <c r="BR535" s="1044"/>
      <c r="BS535" s="1044"/>
      <c r="BT535" s="1044"/>
      <c r="BU535" s="1044"/>
      <c r="BV535" s="1044"/>
      <c r="BW535" s="1044"/>
      <c r="BX535" s="1044"/>
      <c r="BY535" s="1044"/>
      <c r="BZ535" s="1044"/>
      <c r="CA535" s="1044"/>
      <c r="CB535" s="1044"/>
      <c r="CC535" s="1044"/>
      <c r="CD535" s="1044"/>
      <c r="CE535" s="1044"/>
      <c r="CF535" s="1044"/>
      <c r="CG535" s="1044"/>
      <c r="CH535" s="1044"/>
      <c r="CI535" s="1044"/>
      <c r="CJ535" s="1044"/>
      <c r="CK535" s="1044"/>
      <c r="CL535" s="1044"/>
      <c r="CM535" s="1044"/>
      <c r="CN535" s="1044"/>
      <c r="CO535" s="1044"/>
      <c r="CP535" s="1044"/>
      <c r="CQ535" s="1044"/>
      <c r="CR535" s="1044"/>
      <c r="CS535" s="1044"/>
      <c r="CT535" s="1044"/>
      <c r="CU535" s="1044"/>
      <c r="CV535" s="1044"/>
      <c r="CW535" s="1044"/>
      <c r="CX535" s="1044"/>
      <c r="CY535" s="1044"/>
      <c r="CZ535" s="1044"/>
      <c r="DA535" s="1044"/>
      <c r="DB535" s="1044"/>
      <c r="DC535" s="1044"/>
      <c r="DD535" s="1044"/>
      <c r="DE535" s="1044"/>
      <c r="DF535" s="1044"/>
      <c r="DG535" s="1044"/>
      <c r="DH535" s="1044"/>
      <c r="DI535" s="1044"/>
      <c r="DJ535" s="1044"/>
      <c r="DK535" s="1044"/>
      <c r="DL535" s="1044"/>
      <c r="DM535" s="1044"/>
      <c r="DN535" s="1044"/>
      <c r="DO535" s="1044"/>
      <c r="DP535" s="1044"/>
      <c r="DQ535" s="1044"/>
      <c r="DR535" s="1044"/>
      <c r="DS535" s="1044"/>
      <c r="DT535" s="1044"/>
      <c r="DU535" s="1044"/>
      <c r="DV535" s="1044"/>
      <c r="DW535" s="1044"/>
      <c r="DX535" s="1044"/>
      <c r="DY535" s="1044"/>
      <c r="DZ535" s="1044"/>
      <c r="EA535" s="1044"/>
      <c r="EB535" s="1044"/>
      <c r="EC535" s="1044"/>
      <c r="ED535" s="1044"/>
      <c r="EE535" s="1044"/>
      <c r="EF535" s="1044"/>
      <c r="EG535" s="1044"/>
      <c r="EH535" s="1044"/>
      <c r="EI535" s="1044"/>
      <c r="EJ535" s="1044"/>
      <c r="EK535" s="1044"/>
      <c r="EL535" s="1044"/>
      <c r="EM535" s="1044"/>
      <c r="EN535" s="1044"/>
      <c r="EO535" s="1044"/>
      <c r="EP535" s="1044"/>
      <c r="EQ535" s="1044"/>
      <c r="ER535" s="1044"/>
      <c r="ES535" s="1044"/>
      <c r="ET535" s="1044"/>
      <c r="EU535" s="1044"/>
      <c r="EV535" s="1044"/>
      <c r="EW535" s="1044"/>
      <c r="EX535" s="1044"/>
      <c r="EY535" s="1044"/>
      <c r="EZ535" s="1044"/>
      <c r="FA535" s="1044"/>
      <c r="FB535" s="1044"/>
      <c r="FC535" s="1044"/>
      <c r="FD535" s="1044"/>
      <c r="FE535" s="1044"/>
      <c r="FF535" s="1044"/>
      <c r="FG535" s="1044"/>
      <c r="FH535" s="1044"/>
      <c r="FI535" s="1044"/>
      <c r="FJ535" s="1044"/>
      <c r="FK535" s="1044"/>
      <c r="FL535" s="1044"/>
      <c r="FM535" s="1044"/>
      <c r="FN535" s="1044"/>
      <c r="FO535" s="1044"/>
      <c r="FP535" s="1044"/>
      <c r="FQ535" s="1044"/>
      <c r="FR535" s="1044"/>
      <c r="FS535" s="1044"/>
      <c r="FT535" s="1044"/>
      <c r="FU535" s="1044"/>
      <c r="FV535" s="1044"/>
      <c r="FW535" s="1044"/>
      <c r="FX535" s="1044"/>
      <c r="FY535" s="1044"/>
      <c r="FZ535" s="1044"/>
      <c r="GA535" s="1044"/>
      <c r="GB535" s="1044"/>
      <c r="GC535" s="1044"/>
      <c r="GD535" s="1044"/>
      <c r="GE535" s="1044"/>
      <c r="GF535" s="1044"/>
      <c r="GG535" s="1044"/>
      <c r="GH535" s="1044"/>
      <c r="GI535" s="1044"/>
      <c r="GJ535" s="1044"/>
      <c r="GK535" s="1044"/>
      <c r="GL535" s="1044"/>
      <c r="GM535" s="1044"/>
      <c r="GN535" s="1044"/>
      <c r="GO535" s="1044"/>
      <c r="GP535" s="1044"/>
      <c r="GQ535" s="1044"/>
      <c r="GR535" s="1044"/>
      <c r="GS535" s="1044"/>
    </row>
    <row r="536" spans="1:201" s="1138" customFormat="1" ht="12.75">
      <c r="A536" s="1137"/>
      <c r="B536" s="1085"/>
      <c r="D536" s="1139"/>
      <c r="F536" s="1085"/>
      <c r="G536" s="1044"/>
      <c r="H536" s="1044"/>
      <c r="I536" s="1044"/>
      <c r="J536" s="1044"/>
      <c r="K536" s="1044"/>
      <c r="L536" s="1044"/>
      <c r="M536" s="1044"/>
      <c r="N536" s="1044"/>
      <c r="O536" s="1044"/>
      <c r="P536" s="1044"/>
      <c r="Q536" s="1044"/>
      <c r="R536" s="1044"/>
      <c r="S536" s="1044"/>
      <c r="T536" s="1044"/>
      <c r="U536" s="1044"/>
      <c r="V536" s="1044"/>
      <c r="W536" s="1044"/>
      <c r="X536" s="1044"/>
      <c r="Y536" s="1044"/>
      <c r="Z536" s="1044"/>
      <c r="AA536" s="1044"/>
      <c r="AB536" s="1044"/>
      <c r="AC536" s="1044"/>
      <c r="AD536" s="1044"/>
      <c r="AE536" s="1044"/>
      <c r="AF536" s="1044"/>
      <c r="AG536" s="1044"/>
      <c r="AH536" s="1044"/>
      <c r="AI536" s="1044"/>
      <c r="AJ536" s="1044"/>
      <c r="AK536" s="1044"/>
      <c r="AL536" s="1044"/>
      <c r="AM536" s="1044"/>
      <c r="AN536" s="1044"/>
      <c r="AO536" s="1044"/>
      <c r="AP536" s="1044"/>
      <c r="AQ536" s="1044"/>
      <c r="AR536" s="1044"/>
      <c r="AS536" s="1044"/>
      <c r="AT536" s="1044"/>
      <c r="AU536" s="1044"/>
      <c r="AV536" s="1044"/>
      <c r="AW536" s="1044"/>
      <c r="AX536" s="1044"/>
      <c r="AY536" s="1044"/>
      <c r="AZ536" s="1044"/>
      <c r="BA536" s="1044"/>
      <c r="BB536" s="1044"/>
      <c r="BC536" s="1044"/>
      <c r="BD536" s="1044"/>
      <c r="BE536" s="1044"/>
      <c r="BF536" s="1044"/>
      <c r="BG536" s="1044"/>
      <c r="BH536" s="1044"/>
      <c r="BI536" s="1044"/>
      <c r="BJ536" s="1044"/>
      <c r="BK536" s="1044"/>
      <c r="BL536" s="1044"/>
      <c r="BM536" s="1044"/>
      <c r="BN536" s="1044"/>
      <c r="BO536" s="1044"/>
      <c r="BP536" s="1044"/>
      <c r="BQ536" s="1044"/>
      <c r="BR536" s="1044"/>
      <c r="BS536" s="1044"/>
      <c r="BT536" s="1044"/>
      <c r="BU536" s="1044"/>
      <c r="BV536" s="1044"/>
      <c r="BW536" s="1044"/>
      <c r="BX536" s="1044"/>
      <c r="BY536" s="1044"/>
      <c r="BZ536" s="1044"/>
      <c r="CA536" s="1044"/>
      <c r="CB536" s="1044"/>
      <c r="CC536" s="1044"/>
      <c r="CD536" s="1044"/>
      <c r="CE536" s="1044"/>
      <c r="CF536" s="1044"/>
      <c r="CG536" s="1044"/>
      <c r="CH536" s="1044"/>
      <c r="CI536" s="1044"/>
      <c r="CJ536" s="1044"/>
      <c r="CK536" s="1044"/>
      <c r="CL536" s="1044"/>
      <c r="CM536" s="1044"/>
      <c r="CN536" s="1044"/>
      <c r="CO536" s="1044"/>
      <c r="CP536" s="1044"/>
      <c r="CQ536" s="1044"/>
      <c r="CR536" s="1044"/>
      <c r="CS536" s="1044"/>
      <c r="CT536" s="1044"/>
      <c r="CU536" s="1044"/>
      <c r="CV536" s="1044"/>
      <c r="CW536" s="1044"/>
      <c r="CX536" s="1044"/>
      <c r="CY536" s="1044"/>
      <c r="CZ536" s="1044"/>
      <c r="DA536" s="1044"/>
      <c r="DB536" s="1044"/>
      <c r="DC536" s="1044"/>
      <c r="DD536" s="1044"/>
      <c r="DE536" s="1044"/>
      <c r="DF536" s="1044"/>
      <c r="DG536" s="1044"/>
      <c r="DH536" s="1044"/>
      <c r="DI536" s="1044"/>
      <c r="DJ536" s="1044"/>
      <c r="DK536" s="1044"/>
      <c r="DL536" s="1044"/>
      <c r="DM536" s="1044"/>
      <c r="DN536" s="1044"/>
      <c r="DO536" s="1044"/>
      <c r="DP536" s="1044"/>
      <c r="DQ536" s="1044"/>
      <c r="DR536" s="1044"/>
      <c r="DS536" s="1044"/>
      <c r="DT536" s="1044"/>
      <c r="DU536" s="1044"/>
      <c r="DV536" s="1044"/>
      <c r="DW536" s="1044"/>
      <c r="DX536" s="1044"/>
      <c r="DY536" s="1044"/>
      <c r="DZ536" s="1044"/>
      <c r="EA536" s="1044"/>
      <c r="EB536" s="1044"/>
      <c r="EC536" s="1044"/>
      <c r="ED536" s="1044"/>
      <c r="EE536" s="1044"/>
      <c r="EF536" s="1044"/>
      <c r="EG536" s="1044"/>
      <c r="EH536" s="1044"/>
      <c r="EI536" s="1044"/>
      <c r="EJ536" s="1044"/>
      <c r="EK536" s="1044"/>
      <c r="EL536" s="1044"/>
      <c r="EM536" s="1044"/>
      <c r="EN536" s="1044"/>
      <c r="EO536" s="1044"/>
      <c r="EP536" s="1044"/>
      <c r="EQ536" s="1044"/>
      <c r="ER536" s="1044"/>
      <c r="ES536" s="1044"/>
      <c r="ET536" s="1044"/>
      <c r="EU536" s="1044"/>
      <c r="EV536" s="1044"/>
      <c r="EW536" s="1044"/>
      <c r="EX536" s="1044"/>
      <c r="EY536" s="1044"/>
      <c r="EZ536" s="1044"/>
      <c r="FA536" s="1044"/>
      <c r="FB536" s="1044"/>
      <c r="FC536" s="1044"/>
      <c r="FD536" s="1044"/>
      <c r="FE536" s="1044"/>
      <c r="FF536" s="1044"/>
      <c r="FG536" s="1044"/>
      <c r="FH536" s="1044"/>
      <c r="FI536" s="1044"/>
      <c r="FJ536" s="1044"/>
      <c r="FK536" s="1044"/>
      <c r="FL536" s="1044"/>
      <c r="FM536" s="1044"/>
      <c r="FN536" s="1044"/>
      <c r="FO536" s="1044"/>
      <c r="FP536" s="1044"/>
      <c r="FQ536" s="1044"/>
      <c r="FR536" s="1044"/>
      <c r="FS536" s="1044"/>
      <c r="FT536" s="1044"/>
      <c r="FU536" s="1044"/>
      <c r="FV536" s="1044"/>
      <c r="FW536" s="1044"/>
      <c r="FX536" s="1044"/>
      <c r="FY536" s="1044"/>
      <c r="FZ536" s="1044"/>
      <c r="GA536" s="1044"/>
      <c r="GB536" s="1044"/>
      <c r="GC536" s="1044"/>
      <c r="GD536" s="1044"/>
      <c r="GE536" s="1044"/>
      <c r="GF536" s="1044"/>
      <c r="GG536" s="1044"/>
      <c r="GH536" s="1044"/>
      <c r="GI536" s="1044"/>
      <c r="GJ536" s="1044"/>
      <c r="GK536" s="1044"/>
      <c r="GL536" s="1044"/>
      <c r="GM536" s="1044"/>
      <c r="GN536" s="1044"/>
      <c r="GO536" s="1044"/>
      <c r="GP536" s="1044"/>
      <c r="GQ536" s="1044"/>
      <c r="GR536" s="1044"/>
      <c r="GS536" s="1044"/>
    </row>
    <row r="537" spans="1:201" s="1138" customFormat="1" ht="12.75">
      <c r="A537" s="1137"/>
      <c r="B537" s="1085"/>
      <c r="D537" s="1139"/>
      <c r="F537" s="1085"/>
      <c r="G537" s="1044"/>
      <c r="H537" s="1044"/>
      <c r="I537" s="1044"/>
      <c r="J537" s="1044"/>
      <c r="K537" s="1044"/>
      <c r="L537" s="1044"/>
      <c r="M537" s="1044"/>
      <c r="N537" s="1044"/>
      <c r="O537" s="1044"/>
      <c r="P537" s="1044"/>
      <c r="Q537" s="1044"/>
      <c r="R537" s="1044"/>
      <c r="S537" s="1044"/>
      <c r="T537" s="1044"/>
      <c r="U537" s="1044"/>
      <c r="V537" s="1044"/>
      <c r="W537" s="1044"/>
      <c r="X537" s="1044"/>
      <c r="Y537" s="1044"/>
      <c r="Z537" s="1044"/>
      <c r="AA537" s="1044"/>
      <c r="AB537" s="1044"/>
      <c r="AC537" s="1044"/>
      <c r="AD537" s="1044"/>
      <c r="AE537" s="1044"/>
      <c r="AF537" s="1044"/>
      <c r="AG537" s="1044"/>
      <c r="AH537" s="1044"/>
      <c r="AI537" s="1044"/>
      <c r="AJ537" s="1044"/>
      <c r="AK537" s="1044"/>
      <c r="AL537" s="1044"/>
      <c r="AM537" s="1044"/>
      <c r="AN537" s="1044"/>
      <c r="AO537" s="1044"/>
      <c r="AP537" s="1044"/>
      <c r="AQ537" s="1044"/>
      <c r="AR537" s="1044"/>
      <c r="AS537" s="1044"/>
      <c r="AT537" s="1044"/>
      <c r="AU537" s="1044"/>
      <c r="AV537" s="1044"/>
      <c r="AW537" s="1044"/>
      <c r="AX537" s="1044"/>
      <c r="AY537" s="1044"/>
      <c r="AZ537" s="1044"/>
      <c r="BA537" s="1044"/>
      <c r="BB537" s="1044"/>
      <c r="BC537" s="1044"/>
      <c r="BD537" s="1044"/>
      <c r="BE537" s="1044"/>
      <c r="BF537" s="1044"/>
      <c r="BG537" s="1044"/>
      <c r="BH537" s="1044"/>
      <c r="BI537" s="1044"/>
      <c r="BJ537" s="1044"/>
      <c r="BK537" s="1044"/>
      <c r="BL537" s="1044"/>
      <c r="BM537" s="1044"/>
      <c r="BN537" s="1044"/>
      <c r="BO537" s="1044"/>
      <c r="BP537" s="1044"/>
      <c r="BQ537" s="1044"/>
      <c r="BR537" s="1044"/>
      <c r="BS537" s="1044"/>
      <c r="BT537" s="1044"/>
      <c r="BU537" s="1044"/>
      <c r="BV537" s="1044"/>
      <c r="BW537" s="1044"/>
      <c r="BX537" s="1044"/>
      <c r="BY537" s="1044"/>
      <c r="BZ537" s="1044"/>
      <c r="CA537" s="1044"/>
      <c r="CB537" s="1044"/>
      <c r="CC537" s="1044"/>
      <c r="CD537" s="1044"/>
      <c r="CE537" s="1044"/>
      <c r="CF537" s="1044"/>
      <c r="CG537" s="1044"/>
      <c r="CH537" s="1044"/>
      <c r="CI537" s="1044"/>
      <c r="CJ537" s="1044"/>
      <c r="CK537" s="1044"/>
      <c r="CL537" s="1044"/>
      <c r="CM537" s="1044"/>
      <c r="CN537" s="1044"/>
      <c r="CO537" s="1044"/>
      <c r="CP537" s="1044"/>
      <c r="CQ537" s="1044"/>
      <c r="CR537" s="1044"/>
      <c r="CS537" s="1044"/>
      <c r="CT537" s="1044"/>
      <c r="CU537" s="1044"/>
      <c r="CV537" s="1044"/>
      <c r="CW537" s="1044"/>
      <c r="CX537" s="1044"/>
      <c r="CY537" s="1044"/>
      <c r="CZ537" s="1044"/>
      <c r="DA537" s="1044"/>
      <c r="DB537" s="1044"/>
      <c r="DC537" s="1044"/>
      <c r="DD537" s="1044"/>
      <c r="DE537" s="1044"/>
      <c r="DF537" s="1044"/>
      <c r="DG537" s="1044"/>
      <c r="DH537" s="1044"/>
      <c r="DI537" s="1044"/>
      <c r="DJ537" s="1044"/>
      <c r="DK537" s="1044"/>
      <c r="DL537" s="1044"/>
      <c r="DM537" s="1044"/>
      <c r="DN537" s="1044"/>
      <c r="DO537" s="1044"/>
      <c r="DP537" s="1044"/>
      <c r="DQ537" s="1044"/>
      <c r="DR537" s="1044"/>
      <c r="DS537" s="1044"/>
      <c r="DT537" s="1044"/>
      <c r="DU537" s="1044"/>
      <c r="DV537" s="1044"/>
      <c r="DW537" s="1044"/>
      <c r="DX537" s="1044"/>
      <c r="DY537" s="1044"/>
      <c r="DZ537" s="1044"/>
      <c r="EA537" s="1044"/>
      <c r="EB537" s="1044"/>
      <c r="EC537" s="1044"/>
      <c r="ED537" s="1044"/>
      <c r="EE537" s="1044"/>
      <c r="EF537" s="1044"/>
      <c r="EG537" s="1044"/>
      <c r="EH537" s="1044"/>
      <c r="EI537" s="1044"/>
      <c r="EJ537" s="1044"/>
      <c r="EK537" s="1044"/>
      <c r="EL537" s="1044"/>
      <c r="EM537" s="1044"/>
      <c r="EN537" s="1044"/>
      <c r="EO537" s="1044"/>
      <c r="EP537" s="1044"/>
      <c r="EQ537" s="1044"/>
      <c r="ER537" s="1044"/>
      <c r="ES537" s="1044"/>
      <c r="ET537" s="1044"/>
      <c r="EU537" s="1044"/>
      <c r="EV537" s="1044"/>
      <c r="EW537" s="1044"/>
      <c r="EX537" s="1044"/>
      <c r="EY537" s="1044"/>
      <c r="EZ537" s="1044"/>
      <c r="FA537" s="1044"/>
      <c r="FB537" s="1044"/>
      <c r="FC537" s="1044"/>
      <c r="FD537" s="1044"/>
      <c r="FE537" s="1044"/>
      <c r="FF537" s="1044"/>
      <c r="FG537" s="1044"/>
      <c r="FH537" s="1044"/>
      <c r="FI537" s="1044"/>
      <c r="FJ537" s="1044"/>
      <c r="FK537" s="1044"/>
      <c r="FL537" s="1044"/>
      <c r="FM537" s="1044"/>
      <c r="FN537" s="1044"/>
      <c r="FO537" s="1044"/>
      <c r="FP537" s="1044"/>
      <c r="FQ537" s="1044"/>
      <c r="FR537" s="1044"/>
      <c r="FS537" s="1044"/>
      <c r="FT537" s="1044"/>
      <c r="FU537" s="1044"/>
      <c r="FV537" s="1044"/>
      <c r="FW537" s="1044"/>
      <c r="FX537" s="1044"/>
      <c r="FY537" s="1044"/>
      <c r="FZ537" s="1044"/>
      <c r="GA537" s="1044"/>
      <c r="GB537" s="1044"/>
      <c r="GC537" s="1044"/>
      <c r="GD537" s="1044"/>
      <c r="GE537" s="1044"/>
      <c r="GF537" s="1044"/>
      <c r="GG537" s="1044"/>
      <c r="GH537" s="1044"/>
      <c r="GI537" s="1044"/>
      <c r="GJ537" s="1044"/>
      <c r="GK537" s="1044"/>
      <c r="GL537" s="1044"/>
      <c r="GM537" s="1044"/>
      <c r="GN537" s="1044"/>
      <c r="GO537" s="1044"/>
      <c r="GP537" s="1044"/>
      <c r="GQ537" s="1044"/>
      <c r="GR537" s="1044"/>
      <c r="GS537" s="1044"/>
    </row>
    <row r="538" spans="1:201" s="1138" customFormat="1" ht="12.75">
      <c r="A538" s="1137"/>
      <c r="B538" s="1085"/>
      <c r="D538" s="1139"/>
      <c r="F538" s="1085"/>
      <c r="G538" s="1044"/>
      <c r="H538" s="1044"/>
      <c r="I538" s="1044"/>
      <c r="J538" s="1044"/>
      <c r="K538" s="1044"/>
      <c r="L538" s="1044"/>
      <c r="M538" s="1044"/>
      <c r="N538" s="1044"/>
      <c r="O538" s="1044"/>
      <c r="P538" s="1044"/>
      <c r="Q538" s="1044"/>
      <c r="R538" s="1044"/>
      <c r="S538" s="1044"/>
      <c r="T538" s="1044"/>
      <c r="U538" s="1044"/>
      <c r="V538" s="1044"/>
      <c r="W538" s="1044"/>
      <c r="X538" s="1044"/>
      <c r="Y538" s="1044"/>
      <c r="Z538" s="1044"/>
      <c r="AA538" s="1044"/>
      <c r="AB538" s="1044"/>
      <c r="AC538" s="1044"/>
      <c r="AD538" s="1044"/>
      <c r="AE538" s="1044"/>
      <c r="AF538" s="1044"/>
      <c r="AG538" s="1044"/>
      <c r="AH538" s="1044"/>
      <c r="AI538" s="1044"/>
      <c r="AJ538" s="1044"/>
      <c r="AK538" s="1044"/>
      <c r="AL538" s="1044"/>
      <c r="AM538" s="1044"/>
      <c r="AN538" s="1044"/>
      <c r="AO538" s="1044"/>
      <c r="AP538" s="1044"/>
      <c r="AQ538" s="1044"/>
      <c r="AR538" s="1044"/>
      <c r="AS538" s="1044"/>
      <c r="AT538" s="1044"/>
      <c r="AU538" s="1044"/>
      <c r="AV538" s="1044"/>
      <c r="AW538" s="1044"/>
      <c r="AX538" s="1044"/>
      <c r="AY538" s="1044"/>
      <c r="AZ538" s="1044"/>
      <c r="BA538" s="1044"/>
      <c r="BB538" s="1044"/>
      <c r="BC538" s="1044"/>
      <c r="BD538" s="1044"/>
      <c r="BE538" s="1044"/>
      <c r="BF538" s="1044"/>
      <c r="BG538" s="1044"/>
      <c r="BH538" s="1044"/>
      <c r="BI538" s="1044"/>
      <c r="BJ538" s="1044"/>
      <c r="BK538" s="1044"/>
      <c r="BL538" s="1044"/>
      <c r="BM538" s="1044"/>
      <c r="BN538" s="1044"/>
      <c r="BO538" s="1044"/>
      <c r="BP538" s="1044"/>
      <c r="BQ538" s="1044"/>
      <c r="BR538" s="1044"/>
      <c r="BS538" s="1044"/>
      <c r="BT538" s="1044"/>
      <c r="BU538" s="1044"/>
      <c r="BV538" s="1044"/>
      <c r="BW538" s="1044"/>
      <c r="BX538" s="1044"/>
      <c r="BY538" s="1044"/>
      <c r="BZ538" s="1044"/>
      <c r="CA538" s="1044"/>
      <c r="CB538" s="1044"/>
      <c r="CC538" s="1044"/>
      <c r="CD538" s="1044"/>
      <c r="CE538" s="1044"/>
      <c r="CF538" s="1044"/>
      <c r="CG538" s="1044"/>
      <c r="CH538" s="1044"/>
      <c r="CI538" s="1044"/>
      <c r="CJ538" s="1044"/>
      <c r="CK538" s="1044"/>
      <c r="CL538" s="1044"/>
      <c r="CM538" s="1044"/>
      <c r="CN538" s="1044"/>
      <c r="CO538" s="1044"/>
      <c r="CP538" s="1044"/>
      <c r="CQ538" s="1044"/>
      <c r="CR538" s="1044"/>
      <c r="CS538" s="1044"/>
      <c r="CT538" s="1044"/>
      <c r="CU538" s="1044"/>
      <c r="CV538" s="1044"/>
      <c r="CW538" s="1044"/>
      <c r="CX538" s="1044"/>
      <c r="CY538" s="1044"/>
      <c r="CZ538" s="1044"/>
      <c r="DA538" s="1044"/>
      <c r="DB538" s="1044"/>
      <c r="DC538" s="1044"/>
      <c r="DD538" s="1044"/>
      <c r="DE538" s="1044"/>
      <c r="DF538" s="1044"/>
      <c r="DG538" s="1044"/>
      <c r="DH538" s="1044"/>
      <c r="DI538" s="1044"/>
      <c r="DJ538" s="1044"/>
      <c r="DK538" s="1044"/>
      <c r="DL538" s="1044"/>
      <c r="DM538" s="1044"/>
      <c r="DN538" s="1044"/>
      <c r="DO538" s="1044"/>
      <c r="DP538" s="1044"/>
      <c r="DQ538" s="1044"/>
      <c r="DR538" s="1044"/>
      <c r="DS538" s="1044"/>
      <c r="DT538" s="1044"/>
      <c r="DU538" s="1044"/>
      <c r="DV538" s="1044"/>
      <c r="DW538" s="1044"/>
      <c r="DX538" s="1044"/>
      <c r="DY538" s="1044"/>
      <c r="DZ538" s="1044"/>
      <c r="EA538" s="1044"/>
      <c r="EB538" s="1044"/>
      <c r="EC538" s="1044"/>
      <c r="ED538" s="1044"/>
      <c r="EE538" s="1044"/>
      <c r="EF538" s="1044"/>
      <c r="EG538" s="1044"/>
      <c r="EH538" s="1044"/>
      <c r="EI538" s="1044"/>
      <c r="EJ538" s="1044"/>
      <c r="EK538" s="1044"/>
      <c r="EL538" s="1044"/>
      <c r="EM538" s="1044"/>
      <c r="EN538" s="1044"/>
      <c r="EO538" s="1044"/>
      <c r="EP538" s="1044"/>
      <c r="EQ538" s="1044"/>
      <c r="ER538" s="1044"/>
      <c r="ES538" s="1044"/>
      <c r="ET538" s="1044"/>
      <c r="EU538" s="1044"/>
      <c r="EV538" s="1044"/>
      <c r="EW538" s="1044"/>
      <c r="EX538" s="1044"/>
      <c r="EY538" s="1044"/>
      <c r="EZ538" s="1044"/>
      <c r="FA538" s="1044"/>
      <c r="FB538" s="1044"/>
      <c r="FC538" s="1044"/>
      <c r="FD538" s="1044"/>
      <c r="FE538" s="1044"/>
      <c r="FF538" s="1044"/>
      <c r="FG538" s="1044"/>
      <c r="FH538" s="1044"/>
      <c r="FI538" s="1044"/>
      <c r="FJ538" s="1044"/>
      <c r="FK538" s="1044"/>
      <c r="FL538" s="1044"/>
      <c r="FM538" s="1044"/>
      <c r="FN538" s="1044"/>
      <c r="FO538" s="1044"/>
      <c r="FP538" s="1044"/>
      <c r="FQ538" s="1044"/>
      <c r="FR538" s="1044"/>
      <c r="FS538" s="1044"/>
      <c r="FT538" s="1044"/>
      <c r="FU538" s="1044"/>
      <c r="FV538" s="1044"/>
      <c r="FW538" s="1044"/>
      <c r="FX538" s="1044"/>
      <c r="FY538" s="1044"/>
      <c r="FZ538" s="1044"/>
      <c r="GA538" s="1044"/>
      <c r="GB538" s="1044"/>
      <c r="GC538" s="1044"/>
      <c r="GD538" s="1044"/>
      <c r="GE538" s="1044"/>
      <c r="GF538" s="1044"/>
      <c r="GG538" s="1044"/>
      <c r="GH538" s="1044"/>
      <c r="GI538" s="1044"/>
      <c r="GJ538" s="1044"/>
      <c r="GK538" s="1044"/>
      <c r="GL538" s="1044"/>
      <c r="GM538" s="1044"/>
      <c r="GN538" s="1044"/>
      <c r="GO538" s="1044"/>
      <c r="GP538" s="1044"/>
      <c r="GQ538" s="1044"/>
      <c r="GR538" s="1044"/>
      <c r="GS538" s="1044"/>
    </row>
    <row r="539" spans="1:201" s="1138" customFormat="1" ht="12.75">
      <c r="A539" s="1137"/>
      <c r="B539" s="1085"/>
      <c r="D539" s="1139"/>
      <c r="F539" s="1085"/>
      <c r="G539" s="1044"/>
      <c r="H539" s="1044"/>
      <c r="I539" s="1044"/>
      <c r="J539" s="1044"/>
      <c r="K539" s="1044"/>
      <c r="L539" s="1044"/>
      <c r="M539" s="1044"/>
      <c r="N539" s="1044"/>
      <c r="O539" s="1044"/>
      <c r="P539" s="1044"/>
      <c r="Q539" s="1044"/>
      <c r="R539" s="1044"/>
      <c r="S539" s="1044"/>
      <c r="T539" s="1044"/>
      <c r="U539" s="1044"/>
      <c r="V539" s="1044"/>
      <c r="W539" s="1044"/>
      <c r="X539" s="1044"/>
      <c r="Y539" s="1044"/>
      <c r="Z539" s="1044"/>
      <c r="AA539" s="1044"/>
      <c r="AB539" s="1044"/>
      <c r="AC539" s="1044"/>
      <c r="AD539" s="1044"/>
      <c r="AE539" s="1044"/>
      <c r="AF539" s="1044"/>
      <c r="AG539" s="1044"/>
      <c r="AH539" s="1044"/>
      <c r="AI539" s="1044"/>
      <c r="AJ539" s="1044"/>
      <c r="AK539" s="1044"/>
      <c r="AL539" s="1044"/>
      <c r="AM539" s="1044"/>
      <c r="AN539" s="1044"/>
      <c r="AO539" s="1044"/>
      <c r="AP539" s="1044"/>
      <c r="AQ539" s="1044"/>
      <c r="AR539" s="1044"/>
      <c r="AS539" s="1044"/>
      <c r="AT539" s="1044"/>
      <c r="AU539" s="1044"/>
      <c r="AV539" s="1044"/>
      <c r="AW539" s="1044"/>
      <c r="AX539" s="1044"/>
      <c r="AY539" s="1044"/>
      <c r="AZ539" s="1044"/>
      <c r="BA539" s="1044"/>
      <c r="BB539" s="1044"/>
      <c r="BC539" s="1044"/>
      <c r="BD539" s="1044"/>
      <c r="BE539" s="1044"/>
      <c r="BF539" s="1044"/>
      <c r="BG539" s="1044"/>
      <c r="BH539" s="1044"/>
      <c r="BI539" s="1044"/>
      <c r="BJ539" s="1044"/>
      <c r="BK539" s="1044"/>
      <c r="BL539" s="1044"/>
      <c r="BM539" s="1044"/>
      <c r="BN539" s="1044"/>
      <c r="BO539" s="1044"/>
      <c r="BP539" s="1044"/>
      <c r="BQ539" s="1044"/>
      <c r="BR539" s="1044"/>
      <c r="BS539" s="1044"/>
      <c r="BT539" s="1044"/>
      <c r="BU539" s="1044"/>
      <c r="BV539" s="1044"/>
      <c r="BW539" s="1044"/>
      <c r="BX539" s="1044"/>
      <c r="BY539" s="1044"/>
      <c r="BZ539" s="1044"/>
      <c r="CA539" s="1044"/>
      <c r="CB539" s="1044"/>
      <c r="CC539" s="1044"/>
      <c r="CD539" s="1044"/>
      <c r="CE539" s="1044"/>
      <c r="CF539" s="1044"/>
      <c r="CG539" s="1044"/>
      <c r="CH539" s="1044"/>
      <c r="CI539" s="1044"/>
      <c r="CJ539" s="1044"/>
      <c r="CK539" s="1044"/>
      <c r="CL539" s="1044"/>
      <c r="CM539" s="1044"/>
      <c r="CN539" s="1044"/>
      <c r="CO539" s="1044"/>
      <c r="CP539" s="1044"/>
      <c r="CQ539" s="1044"/>
      <c r="CR539" s="1044"/>
      <c r="CS539" s="1044"/>
      <c r="CT539" s="1044"/>
      <c r="CU539" s="1044"/>
      <c r="CV539" s="1044"/>
      <c r="CW539" s="1044"/>
      <c r="CX539" s="1044"/>
      <c r="CY539" s="1044"/>
      <c r="CZ539" s="1044"/>
      <c r="DA539" s="1044"/>
      <c r="DB539" s="1044"/>
      <c r="DC539" s="1044"/>
      <c r="DD539" s="1044"/>
      <c r="DE539" s="1044"/>
      <c r="DF539" s="1044"/>
      <c r="DG539" s="1044"/>
      <c r="DH539" s="1044"/>
      <c r="DI539" s="1044"/>
      <c r="DJ539" s="1044"/>
      <c r="DK539" s="1044"/>
      <c r="DL539" s="1044"/>
      <c r="DM539" s="1044"/>
      <c r="DN539" s="1044"/>
      <c r="DO539" s="1044"/>
      <c r="DP539" s="1044"/>
      <c r="DQ539" s="1044"/>
      <c r="DR539" s="1044"/>
      <c r="DS539" s="1044"/>
      <c r="DT539" s="1044"/>
      <c r="DU539" s="1044"/>
      <c r="DV539" s="1044"/>
      <c r="DW539" s="1044"/>
      <c r="DX539" s="1044"/>
      <c r="DY539" s="1044"/>
      <c r="DZ539" s="1044"/>
      <c r="EA539" s="1044"/>
      <c r="EB539" s="1044"/>
      <c r="EC539" s="1044"/>
      <c r="ED539" s="1044"/>
      <c r="EE539" s="1044"/>
      <c r="EF539" s="1044"/>
      <c r="EG539" s="1044"/>
      <c r="EH539" s="1044"/>
      <c r="EI539" s="1044"/>
      <c r="EJ539" s="1044"/>
      <c r="EK539" s="1044"/>
      <c r="EL539" s="1044"/>
      <c r="EM539" s="1044"/>
      <c r="EN539" s="1044"/>
      <c r="EO539" s="1044"/>
      <c r="EP539" s="1044"/>
      <c r="EQ539" s="1044"/>
      <c r="ER539" s="1044"/>
      <c r="ES539" s="1044"/>
      <c r="ET539" s="1044"/>
      <c r="EU539" s="1044"/>
      <c r="EV539" s="1044"/>
      <c r="EW539" s="1044"/>
      <c r="EX539" s="1044"/>
      <c r="EY539" s="1044"/>
      <c r="EZ539" s="1044"/>
      <c r="FA539" s="1044"/>
      <c r="FB539" s="1044"/>
      <c r="FC539" s="1044"/>
      <c r="FD539" s="1044"/>
      <c r="FE539" s="1044"/>
      <c r="FF539" s="1044"/>
      <c r="FG539" s="1044"/>
      <c r="FH539" s="1044"/>
      <c r="FI539" s="1044"/>
      <c r="FJ539" s="1044"/>
      <c r="FK539" s="1044"/>
      <c r="FL539" s="1044"/>
      <c r="FM539" s="1044"/>
      <c r="FN539" s="1044"/>
      <c r="FO539" s="1044"/>
      <c r="FP539" s="1044"/>
      <c r="FQ539" s="1044"/>
      <c r="FR539" s="1044"/>
      <c r="FS539" s="1044"/>
      <c r="FT539" s="1044"/>
      <c r="FU539" s="1044"/>
      <c r="FV539" s="1044"/>
      <c r="FW539" s="1044"/>
      <c r="FX539" s="1044"/>
      <c r="FY539" s="1044"/>
      <c r="FZ539" s="1044"/>
      <c r="GA539" s="1044"/>
      <c r="GB539" s="1044"/>
      <c r="GC539" s="1044"/>
      <c r="GD539" s="1044"/>
      <c r="GE539" s="1044"/>
      <c r="GF539" s="1044"/>
      <c r="GG539" s="1044"/>
      <c r="GH539" s="1044"/>
      <c r="GI539" s="1044"/>
      <c r="GJ539" s="1044"/>
      <c r="GK539" s="1044"/>
      <c r="GL539" s="1044"/>
      <c r="GM539" s="1044"/>
      <c r="GN539" s="1044"/>
      <c r="GO539" s="1044"/>
      <c r="GP539" s="1044"/>
      <c r="GQ539" s="1044"/>
      <c r="GR539" s="1044"/>
      <c r="GS539" s="1044"/>
    </row>
    <row r="540" spans="1:201" s="1138" customFormat="1" ht="12.75">
      <c r="A540" s="1137"/>
      <c r="B540" s="1085"/>
      <c r="D540" s="1139"/>
      <c r="F540" s="1085"/>
      <c r="G540" s="1044"/>
      <c r="H540" s="1044"/>
      <c r="I540" s="1044"/>
      <c r="J540" s="1044"/>
      <c r="K540" s="1044"/>
      <c r="L540" s="1044"/>
      <c r="M540" s="1044"/>
      <c r="N540" s="1044"/>
      <c r="O540" s="1044"/>
      <c r="P540" s="1044"/>
      <c r="Q540" s="1044"/>
      <c r="R540" s="1044"/>
      <c r="S540" s="1044"/>
      <c r="T540" s="1044"/>
      <c r="U540" s="1044"/>
      <c r="V540" s="1044"/>
      <c r="W540" s="1044"/>
      <c r="X540" s="1044"/>
      <c r="Y540" s="1044"/>
      <c r="Z540" s="1044"/>
      <c r="AA540" s="1044"/>
      <c r="AB540" s="1044"/>
      <c r="AC540" s="1044"/>
      <c r="AD540" s="1044"/>
      <c r="AE540" s="1044"/>
      <c r="AF540" s="1044"/>
      <c r="AG540" s="1044"/>
      <c r="AH540" s="1044"/>
      <c r="AI540" s="1044"/>
      <c r="AJ540" s="1044"/>
      <c r="AK540" s="1044"/>
      <c r="AL540" s="1044"/>
      <c r="AM540" s="1044"/>
      <c r="AN540" s="1044"/>
      <c r="AO540" s="1044"/>
      <c r="AP540" s="1044"/>
      <c r="AQ540" s="1044"/>
      <c r="AR540" s="1044"/>
      <c r="AS540" s="1044"/>
      <c r="AT540" s="1044"/>
      <c r="AU540" s="1044"/>
      <c r="AV540" s="1044"/>
      <c r="AW540" s="1044"/>
      <c r="AX540" s="1044"/>
      <c r="AY540" s="1044"/>
      <c r="AZ540" s="1044"/>
      <c r="BA540" s="1044"/>
      <c r="BB540" s="1044"/>
      <c r="BC540" s="1044"/>
      <c r="BD540" s="1044"/>
      <c r="BE540" s="1044"/>
      <c r="BF540" s="1044"/>
      <c r="BG540" s="1044"/>
      <c r="BH540" s="1044"/>
      <c r="BI540" s="1044"/>
      <c r="BJ540" s="1044"/>
      <c r="BK540" s="1044"/>
      <c r="BL540" s="1044"/>
      <c r="BM540" s="1044"/>
      <c r="BN540" s="1044"/>
      <c r="BO540" s="1044"/>
      <c r="BP540" s="1044"/>
      <c r="BQ540" s="1044"/>
      <c r="BR540" s="1044"/>
      <c r="BS540" s="1044"/>
      <c r="BT540" s="1044"/>
      <c r="BU540" s="1044"/>
      <c r="BV540" s="1044"/>
      <c r="BW540" s="1044"/>
      <c r="BX540" s="1044"/>
      <c r="BY540" s="1044"/>
      <c r="BZ540" s="1044"/>
      <c r="CA540" s="1044"/>
      <c r="CB540" s="1044"/>
      <c r="CC540" s="1044"/>
      <c r="CD540" s="1044"/>
      <c r="CE540" s="1044"/>
      <c r="CF540" s="1044"/>
      <c r="CG540" s="1044"/>
      <c r="CH540" s="1044"/>
      <c r="CI540" s="1044"/>
      <c r="CJ540" s="1044"/>
      <c r="CK540" s="1044"/>
      <c r="CL540" s="1044"/>
      <c r="CM540" s="1044"/>
      <c r="CN540" s="1044"/>
      <c r="CO540" s="1044"/>
      <c r="CP540" s="1044"/>
      <c r="CQ540" s="1044"/>
      <c r="CR540" s="1044"/>
      <c r="CS540" s="1044"/>
      <c r="CT540" s="1044"/>
      <c r="CU540" s="1044"/>
      <c r="CV540" s="1044"/>
      <c r="CW540" s="1044"/>
      <c r="CX540" s="1044"/>
      <c r="CY540" s="1044"/>
      <c r="CZ540" s="1044"/>
      <c r="DA540" s="1044"/>
      <c r="DB540" s="1044"/>
      <c r="DC540" s="1044"/>
      <c r="DD540" s="1044"/>
      <c r="DE540" s="1044"/>
      <c r="DF540" s="1044"/>
      <c r="DG540" s="1044"/>
      <c r="DH540" s="1044"/>
      <c r="DI540" s="1044"/>
      <c r="DJ540" s="1044"/>
      <c r="DK540" s="1044"/>
      <c r="DL540" s="1044"/>
      <c r="DM540" s="1044"/>
      <c r="DN540" s="1044"/>
      <c r="DO540" s="1044"/>
      <c r="DP540" s="1044"/>
      <c r="DQ540" s="1044"/>
      <c r="DR540" s="1044"/>
      <c r="DS540" s="1044"/>
      <c r="DT540" s="1044"/>
      <c r="DU540" s="1044"/>
      <c r="DV540" s="1044"/>
      <c r="DW540" s="1044"/>
      <c r="DX540" s="1044"/>
      <c r="DY540" s="1044"/>
      <c r="DZ540" s="1044"/>
      <c r="EA540" s="1044"/>
      <c r="EB540" s="1044"/>
      <c r="EC540" s="1044"/>
      <c r="ED540" s="1044"/>
      <c r="EE540" s="1044"/>
      <c r="EF540" s="1044"/>
      <c r="EG540" s="1044"/>
      <c r="EH540" s="1044"/>
      <c r="EI540" s="1044"/>
      <c r="EJ540" s="1044"/>
      <c r="EK540" s="1044"/>
      <c r="EL540" s="1044"/>
      <c r="EM540" s="1044"/>
      <c r="EN540" s="1044"/>
      <c r="EO540" s="1044"/>
      <c r="EP540" s="1044"/>
      <c r="EQ540" s="1044"/>
      <c r="ER540" s="1044"/>
      <c r="ES540" s="1044"/>
      <c r="ET540" s="1044"/>
      <c r="EU540" s="1044"/>
      <c r="EV540" s="1044"/>
      <c r="EW540" s="1044"/>
      <c r="EX540" s="1044"/>
      <c r="EY540" s="1044"/>
      <c r="EZ540" s="1044"/>
      <c r="FA540" s="1044"/>
      <c r="FB540" s="1044"/>
      <c r="FC540" s="1044"/>
      <c r="FD540" s="1044"/>
      <c r="FE540" s="1044"/>
      <c r="FF540" s="1044"/>
      <c r="FG540" s="1044"/>
      <c r="FH540" s="1044"/>
      <c r="FI540" s="1044"/>
      <c r="FJ540" s="1044"/>
      <c r="FK540" s="1044"/>
      <c r="FL540" s="1044"/>
      <c r="FM540" s="1044"/>
      <c r="FN540" s="1044"/>
      <c r="FO540" s="1044"/>
      <c r="FP540" s="1044"/>
      <c r="FQ540" s="1044"/>
      <c r="FR540" s="1044"/>
      <c r="FS540" s="1044"/>
      <c r="FT540" s="1044"/>
      <c r="FU540" s="1044"/>
      <c r="FV540" s="1044"/>
      <c r="FW540" s="1044"/>
      <c r="FX540" s="1044"/>
      <c r="FY540" s="1044"/>
      <c r="FZ540" s="1044"/>
      <c r="GA540" s="1044"/>
      <c r="GB540" s="1044"/>
      <c r="GC540" s="1044"/>
      <c r="GD540" s="1044"/>
      <c r="GE540" s="1044"/>
      <c r="GF540" s="1044"/>
      <c r="GG540" s="1044"/>
      <c r="GH540" s="1044"/>
      <c r="GI540" s="1044"/>
      <c r="GJ540" s="1044"/>
      <c r="GK540" s="1044"/>
      <c r="GL540" s="1044"/>
      <c r="GM540" s="1044"/>
      <c r="GN540" s="1044"/>
      <c r="GO540" s="1044"/>
      <c r="GP540" s="1044"/>
      <c r="GQ540" s="1044"/>
      <c r="GR540" s="1044"/>
      <c r="GS540" s="1044"/>
    </row>
    <row r="541" spans="1:201" s="1138" customFormat="1" ht="12.75">
      <c r="A541" s="1137"/>
      <c r="B541" s="1085"/>
      <c r="D541" s="1139"/>
      <c r="F541" s="1085"/>
      <c r="G541" s="1044"/>
      <c r="H541" s="1044"/>
      <c r="I541" s="1044"/>
      <c r="J541" s="1044"/>
      <c r="K541" s="1044"/>
      <c r="L541" s="1044"/>
      <c r="M541" s="1044"/>
      <c r="N541" s="1044"/>
      <c r="O541" s="1044"/>
      <c r="P541" s="1044"/>
      <c r="Q541" s="1044"/>
      <c r="R541" s="1044"/>
      <c r="S541" s="1044"/>
      <c r="T541" s="1044"/>
      <c r="U541" s="1044"/>
      <c r="V541" s="1044"/>
      <c r="W541" s="1044"/>
      <c r="X541" s="1044"/>
      <c r="Y541" s="1044"/>
      <c r="Z541" s="1044"/>
      <c r="AA541" s="1044"/>
      <c r="AB541" s="1044"/>
      <c r="AC541" s="1044"/>
      <c r="AD541" s="1044"/>
      <c r="AE541" s="1044"/>
      <c r="AF541" s="1044"/>
      <c r="AG541" s="1044"/>
      <c r="AH541" s="1044"/>
      <c r="AI541" s="1044"/>
      <c r="AJ541" s="1044"/>
      <c r="AK541" s="1044"/>
      <c r="AL541" s="1044"/>
      <c r="AM541" s="1044"/>
      <c r="AN541" s="1044"/>
      <c r="AO541" s="1044"/>
      <c r="AP541" s="1044"/>
      <c r="AQ541" s="1044"/>
      <c r="AR541" s="1044"/>
      <c r="AS541" s="1044"/>
      <c r="AT541" s="1044"/>
      <c r="AU541" s="1044"/>
      <c r="AV541" s="1044"/>
      <c r="AW541" s="1044"/>
      <c r="AX541" s="1044"/>
      <c r="AY541" s="1044"/>
      <c r="AZ541" s="1044"/>
      <c r="BA541" s="1044"/>
      <c r="BB541" s="1044"/>
      <c r="BC541" s="1044"/>
      <c r="BD541" s="1044"/>
      <c r="BE541" s="1044"/>
      <c r="BF541" s="1044"/>
      <c r="BG541" s="1044"/>
      <c r="BH541" s="1044"/>
      <c r="BI541" s="1044"/>
      <c r="BJ541" s="1044"/>
      <c r="BK541" s="1044"/>
      <c r="BL541" s="1044"/>
      <c r="BM541" s="1044"/>
      <c r="BN541" s="1044"/>
      <c r="BO541" s="1044"/>
      <c r="BP541" s="1044"/>
      <c r="BQ541" s="1044"/>
      <c r="BR541" s="1044"/>
      <c r="BS541" s="1044"/>
      <c r="BT541" s="1044"/>
      <c r="BU541" s="1044"/>
      <c r="BV541" s="1044"/>
      <c r="BW541" s="1044"/>
      <c r="BX541" s="1044"/>
      <c r="BY541" s="1044"/>
      <c r="BZ541" s="1044"/>
      <c r="CA541" s="1044"/>
      <c r="CB541" s="1044"/>
      <c r="CC541" s="1044"/>
      <c r="CD541" s="1044"/>
      <c r="CE541" s="1044"/>
      <c r="CF541" s="1044"/>
      <c r="CG541" s="1044"/>
      <c r="CH541" s="1044"/>
      <c r="CI541" s="1044"/>
      <c r="CJ541" s="1044"/>
      <c r="CK541" s="1044"/>
      <c r="CL541" s="1044"/>
      <c r="CM541" s="1044"/>
      <c r="CN541" s="1044"/>
      <c r="CO541" s="1044"/>
      <c r="CP541" s="1044"/>
      <c r="CQ541" s="1044"/>
      <c r="CR541" s="1044"/>
      <c r="CS541" s="1044"/>
      <c r="CT541" s="1044"/>
      <c r="CU541" s="1044"/>
      <c r="CV541" s="1044"/>
      <c r="CW541" s="1044"/>
      <c r="CX541" s="1044"/>
      <c r="CY541" s="1044"/>
      <c r="CZ541" s="1044"/>
      <c r="DA541" s="1044"/>
      <c r="DB541" s="1044"/>
      <c r="DC541" s="1044"/>
      <c r="DD541" s="1044"/>
      <c r="DE541" s="1044"/>
      <c r="DF541" s="1044"/>
      <c r="DG541" s="1044"/>
      <c r="DH541" s="1044"/>
      <c r="DI541" s="1044"/>
      <c r="DJ541" s="1044"/>
      <c r="DK541" s="1044"/>
      <c r="DL541" s="1044"/>
      <c r="DM541" s="1044"/>
      <c r="DN541" s="1044"/>
      <c r="DO541" s="1044"/>
      <c r="DP541" s="1044"/>
      <c r="DQ541" s="1044"/>
      <c r="DR541" s="1044"/>
      <c r="DS541" s="1044"/>
      <c r="DT541" s="1044"/>
      <c r="DU541" s="1044"/>
      <c r="DV541" s="1044"/>
      <c r="DW541" s="1044"/>
      <c r="DX541" s="1044"/>
      <c r="DY541" s="1044"/>
      <c r="DZ541" s="1044"/>
      <c r="EA541" s="1044"/>
      <c r="EB541" s="1044"/>
      <c r="EC541" s="1044"/>
      <c r="ED541" s="1044"/>
      <c r="EE541" s="1044"/>
      <c r="EF541" s="1044"/>
      <c r="EG541" s="1044"/>
      <c r="EH541" s="1044"/>
      <c r="EI541" s="1044"/>
      <c r="EJ541" s="1044"/>
      <c r="EK541" s="1044"/>
      <c r="EL541" s="1044"/>
      <c r="EM541" s="1044"/>
      <c r="EN541" s="1044"/>
      <c r="EO541" s="1044"/>
      <c r="EP541" s="1044"/>
      <c r="EQ541" s="1044"/>
      <c r="ER541" s="1044"/>
      <c r="ES541" s="1044"/>
      <c r="ET541" s="1044"/>
      <c r="EU541" s="1044"/>
      <c r="EV541" s="1044"/>
      <c r="EW541" s="1044"/>
      <c r="EX541" s="1044"/>
      <c r="EY541" s="1044"/>
      <c r="EZ541" s="1044"/>
      <c r="FA541" s="1044"/>
      <c r="FB541" s="1044"/>
      <c r="FC541" s="1044"/>
      <c r="FD541" s="1044"/>
      <c r="FE541" s="1044"/>
      <c r="FF541" s="1044"/>
      <c r="FG541" s="1044"/>
      <c r="FH541" s="1044"/>
      <c r="FI541" s="1044"/>
      <c r="FJ541" s="1044"/>
      <c r="FK541" s="1044"/>
      <c r="FL541" s="1044"/>
      <c r="FM541" s="1044"/>
      <c r="FN541" s="1044"/>
      <c r="FO541" s="1044"/>
      <c r="FP541" s="1044"/>
      <c r="FQ541" s="1044"/>
      <c r="FR541" s="1044"/>
      <c r="FS541" s="1044"/>
      <c r="FT541" s="1044"/>
      <c r="FU541" s="1044"/>
      <c r="FV541" s="1044"/>
      <c r="FW541" s="1044"/>
      <c r="FX541" s="1044"/>
      <c r="FY541" s="1044"/>
      <c r="FZ541" s="1044"/>
      <c r="GA541" s="1044"/>
      <c r="GB541" s="1044"/>
      <c r="GC541" s="1044"/>
      <c r="GD541" s="1044"/>
      <c r="GE541" s="1044"/>
      <c r="GF541" s="1044"/>
      <c r="GG541" s="1044"/>
      <c r="GH541" s="1044"/>
      <c r="GI541" s="1044"/>
      <c r="GJ541" s="1044"/>
      <c r="GK541" s="1044"/>
      <c r="GL541" s="1044"/>
      <c r="GM541" s="1044"/>
      <c r="GN541" s="1044"/>
      <c r="GO541" s="1044"/>
      <c r="GP541" s="1044"/>
      <c r="GQ541" s="1044"/>
      <c r="GR541" s="1044"/>
      <c r="GS541" s="1044"/>
    </row>
    <row r="542" spans="1:201" s="1138" customFormat="1" ht="12.75">
      <c r="A542" s="1137"/>
      <c r="B542" s="1085"/>
      <c r="D542" s="1139"/>
      <c r="F542" s="1085"/>
      <c r="G542" s="1044"/>
      <c r="H542" s="1044"/>
      <c r="I542" s="1044"/>
      <c r="J542" s="1044"/>
      <c r="K542" s="1044"/>
      <c r="L542" s="1044"/>
      <c r="M542" s="1044"/>
      <c r="N542" s="1044"/>
      <c r="O542" s="1044"/>
      <c r="P542" s="1044"/>
      <c r="Q542" s="1044"/>
      <c r="R542" s="1044"/>
      <c r="S542" s="1044"/>
      <c r="T542" s="1044"/>
      <c r="U542" s="1044"/>
      <c r="V542" s="1044"/>
      <c r="W542" s="1044"/>
      <c r="X542" s="1044"/>
      <c r="Y542" s="1044"/>
      <c r="Z542" s="1044"/>
      <c r="AA542" s="1044"/>
      <c r="AB542" s="1044"/>
      <c r="AC542" s="1044"/>
      <c r="AD542" s="1044"/>
      <c r="AE542" s="1044"/>
      <c r="AF542" s="1044"/>
      <c r="AG542" s="1044"/>
      <c r="AH542" s="1044"/>
      <c r="AI542" s="1044"/>
      <c r="AJ542" s="1044"/>
      <c r="AK542" s="1044"/>
      <c r="AL542" s="1044"/>
      <c r="AM542" s="1044"/>
      <c r="AN542" s="1044"/>
      <c r="AO542" s="1044"/>
      <c r="AP542" s="1044"/>
      <c r="AQ542" s="1044"/>
      <c r="AR542" s="1044"/>
      <c r="AS542" s="1044"/>
      <c r="AT542" s="1044"/>
      <c r="AU542" s="1044"/>
      <c r="AV542" s="1044"/>
      <c r="AW542" s="1044"/>
      <c r="AX542" s="1044"/>
      <c r="AY542" s="1044"/>
      <c r="AZ542" s="1044"/>
      <c r="BA542" s="1044"/>
      <c r="BB542" s="1044"/>
      <c r="BC542" s="1044"/>
      <c r="BD542" s="1044"/>
      <c r="BE542" s="1044"/>
      <c r="BF542" s="1044"/>
      <c r="BG542" s="1044"/>
      <c r="BH542" s="1044"/>
      <c r="BI542" s="1044"/>
      <c r="BJ542" s="1044"/>
      <c r="BK542" s="1044"/>
      <c r="BL542" s="1044"/>
      <c r="BM542" s="1044"/>
      <c r="BN542" s="1044"/>
      <c r="BO542" s="1044"/>
      <c r="BP542" s="1044"/>
      <c r="BQ542" s="1044"/>
      <c r="BR542" s="1044"/>
      <c r="BS542" s="1044"/>
      <c r="BT542" s="1044"/>
      <c r="BU542" s="1044"/>
      <c r="BV542" s="1044"/>
      <c r="BW542" s="1044"/>
      <c r="BX542" s="1044"/>
      <c r="BY542" s="1044"/>
      <c r="BZ542" s="1044"/>
      <c r="CA542" s="1044"/>
      <c r="CB542" s="1044"/>
      <c r="CC542" s="1044"/>
      <c r="CD542" s="1044"/>
      <c r="CE542" s="1044"/>
      <c r="CF542" s="1044"/>
      <c r="CG542" s="1044"/>
      <c r="CH542" s="1044"/>
      <c r="CI542" s="1044"/>
      <c r="CJ542" s="1044"/>
      <c r="CK542" s="1044"/>
      <c r="CL542" s="1044"/>
      <c r="CM542" s="1044"/>
      <c r="CN542" s="1044"/>
      <c r="CO542" s="1044"/>
      <c r="CP542" s="1044"/>
      <c r="CQ542" s="1044"/>
      <c r="CR542" s="1044"/>
      <c r="CS542" s="1044"/>
      <c r="CT542" s="1044"/>
      <c r="CU542" s="1044"/>
      <c r="CV542" s="1044"/>
      <c r="CW542" s="1044"/>
      <c r="CX542" s="1044"/>
      <c r="CY542" s="1044"/>
      <c r="CZ542" s="1044"/>
      <c r="DA542" s="1044"/>
      <c r="DB542" s="1044"/>
      <c r="DC542" s="1044"/>
      <c r="DD542" s="1044"/>
      <c r="DE542" s="1044"/>
      <c r="DF542" s="1044"/>
      <c r="DG542" s="1044"/>
      <c r="DH542" s="1044"/>
      <c r="DI542" s="1044"/>
      <c r="DJ542" s="1044"/>
      <c r="DK542" s="1044"/>
      <c r="DL542" s="1044"/>
      <c r="DM542" s="1044"/>
      <c r="DN542" s="1044"/>
      <c r="DO542" s="1044"/>
      <c r="DP542" s="1044"/>
      <c r="DQ542" s="1044"/>
      <c r="DR542" s="1044"/>
      <c r="DS542" s="1044"/>
      <c r="DT542" s="1044"/>
      <c r="DU542" s="1044"/>
      <c r="DV542" s="1044"/>
      <c r="DW542" s="1044"/>
      <c r="DX542" s="1044"/>
      <c r="DY542" s="1044"/>
      <c r="DZ542" s="1044"/>
      <c r="EA542" s="1044"/>
      <c r="EB542" s="1044"/>
      <c r="EC542" s="1044"/>
      <c r="ED542" s="1044"/>
      <c r="EE542" s="1044"/>
      <c r="EF542" s="1044"/>
      <c r="EG542" s="1044"/>
      <c r="EH542" s="1044"/>
      <c r="EI542" s="1044"/>
      <c r="EJ542" s="1044"/>
      <c r="EK542" s="1044"/>
      <c r="EL542" s="1044"/>
      <c r="EM542" s="1044"/>
      <c r="EN542" s="1044"/>
      <c r="EO542" s="1044"/>
      <c r="EP542" s="1044"/>
      <c r="EQ542" s="1044"/>
      <c r="ER542" s="1044"/>
      <c r="ES542" s="1044"/>
      <c r="ET542" s="1044"/>
      <c r="EU542" s="1044"/>
      <c r="EV542" s="1044"/>
      <c r="EW542" s="1044"/>
      <c r="EX542" s="1044"/>
      <c r="EY542" s="1044"/>
      <c r="EZ542" s="1044"/>
      <c r="FA542" s="1044"/>
      <c r="FB542" s="1044"/>
      <c r="FC542" s="1044"/>
      <c r="FD542" s="1044"/>
      <c r="FE542" s="1044"/>
      <c r="FF542" s="1044"/>
      <c r="FG542" s="1044"/>
      <c r="FH542" s="1044"/>
      <c r="FI542" s="1044"/>
      <c r="FJ542" s="1044"/>
      <c r="FK542" s="1044"/>
      <c r="FL542" s="1044"/>
      <c r="FM542" s="1044"/>
      <c r="FN542" s="1044"/>
      <c r="FO542" s="1044"/>
      <c r="FP542" s="1044"/>
      <c r="FQ542" s="1044"/>
      <c r="FR542" s="1044"/>
      <c r="FS542" s="1044"/>
      <c r="FT542" s="1044"/>
      <c r="FU542" s="1044"/>
      <c r="FV542" s="1044"/>
      <c r="FW542" s="1044"/>
      <c r="FX542" s="1044"/>
      <c r="FY542" s="1044"/>
      <c r="FZ542" s="1044"/>
      <c r="GA542" s="1044"/>
      <c r="GB542" s="1044"/>
      <c r="GC542" s="1044"/>
      <c r="GD542" s="1044"/>
      <c r="GE542" s="1044"/>
      <c r="GF542" s="1044"/>
      <c r="GG542" s="1044"/>
      <c r="GH542" s="1044"/>
      <c r="GI542" s="1044"/>
      <c r="GJ542" s="1044"/>
      <c r="GK542" s="1044"/>
      <c r="GL542" s="1044"/>
      <c r="GM542" s="1044"/>
      <c r="GN542" s="1044"/>
      <c r="GO542" s="1044"/>
      <c r="GP542" s="1044"/>
      <c r="GQ542" s="1044"/>
      <c r="GR542" s="1044"/>
      <c r="GS542" s="1044"/>
    </row>
    <row r="543" spans="1:201" s="1138" customFormat="1" ht="12.75">
      <c r="A543" s="1137"/>
      <c r="B543" s="1085"/>
      <c r="D543" s="1139"/>
      <c r="F543" s="1085"/>
      <c r="G543" s="1044"/>
      <c r="H543" s="1044"/>
      <c r="I543" s="1044"/>
      <c r="J543" s="1044"/>
      <c r="K543" s="1044"/>
      <c r="L543" s="1044"/>
      <c r="M543" s="1044"/>
      <c r="N543" s="1044"/>
      <c r="O543" s="1044"/>
      <c r="P543" s="1044"/>
      <c r="Q543" s="1044"/>
      <c r="R543" s="1044"/>
      <c r="S543" s="1044"/>
      <c r="T543" s="1044"/>
      <c r="U543" s="1044"/>
      <c r="V543" s="1044"/>
      <c r="W543" s="1044"/>
      <c r="X543" s="1044"/>
      <c r="Y543" s="1044"/>
      <c r="Z543" s="1044"/>
      <c r="AA543" s="1044"/>
      <c r="AB543" s="1044"/>
      <c r="AC543" s="1044"/>
      <c r="AD543" s="1044"/>
      <c r="AE543" s="1044"/>
      <c r="AF543" s="1044"/>
      <c r="AG543" s="1044"/>
      <c r="AH543" s="1044"/>
      <c r="AI543" s="1044"/>
      <c r="AJ543" s="1044"/>
      <c r="AK543" s="1044"/>
      <c r="AL543" s="1044"/>
      <c r="AM543" s="1044"/>
      <c r="AN543" s="1044"/>
      <c r="AO543" s="1044"/>
      <c r="AP543" s="1044"/>
      <c r="AQ543" s="1044"/>
      <c r="AR543" s="1044"/>
      <c r="AS543" s="1044"/>
      <c r="AT543" s="1044"/>
      <c r="AU543" s="1044"/>
      <c r="AV543" s="1044"/>
      <c r="AW543" s="1044"/>
      <c r="AX543" s="1044"/>
      <c r="AY543" s="1044"/>
      <c r="AZ543" s="1044"/>
      <c r="BA543" s="1044"/>
      <c r="BB543" s="1044"/>
      <c r="BC543" s="1044"/>
      <c r="BD543" s="1044"/>
      <c r="BE543" s="1044"/>
      <c r="BF543" s="1044"/>
      <c r="BG543" s="1044"/>
      <c r="BH543" s="1044"/>
      <c r="BI543" s="1044"/>
      <c r="BJ543" s="1044"/>
      <c r="BK543" s="1044"/>
      <c r="BL543" s="1044"/>
      <c r="BM543" s="1044"/>
      <c r="BN543" s="1044"/>
      <c r="BO543" s="1044"/>
      <c r="BP543" s="1044"/>
      <c r="BQ543" s="1044"/>
      <c r="BR543" s="1044"/>
      <c r="BS543" s="1044"/>
      <c r="BT543" s="1044"/>
      <c r="BU543" s="1044"/>
      <c r="BV543" s="1044"/>
      <c r="BW543" s="1044"/>
      <c r="BX543" s="1044"/>
      <c r="BY543" s="1044"/>
      <c r="BZ543" s="1044"/>
      <c r="CA543" s="1044"/>
      <c r="CB543" s="1044"/>
      <c r="CC543" s="1044"/>
      <c r="CD543" s="1044"/>
      <c r="CE543" s="1044"/>
      <c r="CF543" s="1044"/>
      <c r="CG543" s="1044"/>
      <c r="CH543" s="1044"/>
      <c r="CI543" s="1044"/>
      <c r="CJ543" s="1044"/>
      <c r="CK543" s="1044"/>
      <c r="CL543" s="1044"/>
      <c r="CM543" s="1044"/>
      <c r="CN543" s="1044"/>
      <c r="CO543" s="1044"/>
      <c r="CP543" s="1044"/>
      <c r="CQ543" s="1044"/>
      <c r="CR543" s="1044"/>
      <c r="CS543" s="1044"/>
      <c r="CT543" s="1044"/>
      <c r="CU543" s="1044"/>
      <c r="CV543" s="1044"/>
      <c r="CW543" s="1044"/>
      <c r="CX543" s="1044"/>
      <c r="CY543" s="1044"/>
      <c r="CZ543" s="1044"/>
      <c r="DA543" s="1044"/>
      <c r="DB543" s="1044"/>
      <c r="DC543" s="1044"/>
      <c r="DD543" s="1044"/>
      <c r="DE543" s="1044"/>
      <c r="DF543" s="1044"/>
      <c r="DG543" s="1044"/>
      <c r="DH543" s="1044"/>
      <c r="DI543" s="1044"/>
      <c r="DJ543" s="1044"/>
      <c r="DK543" s="1044"/>
      <c r="DL543" s="1044"/>
      <c r="DM543" s="1044"/>
      <c r="DN543" s="1044"/>
      <c r="DO543" s="1044"/>
      <c r="DP543" s="1044"/>
      <c r="DQ543" s="1044"/>
      <c r="DR543" s="1044"/>
      <c r="DS543" s="1044"/>
      <c r="DT543" s="1044"/>
      <c r="DU543" s="1044"/>
      <c r="DV543" s="1044"/>
      <c r="DW543" s="1044"/>
      <c r="DX543" s="1044"/>
      <c r="DY543" s="1044"/>
      <c r="DZ543" s="1044"/>
      <c r="EA543" s="1044"/>
      <c r="EB543" s="1044"/>
      <c r="EC543" s="1044"/>
      <c r="ED543" s="1044"/>
      <c r="EE543" s="1044"/>
      <c r="EF543" s="1044"/>
      <c r="EG543" s="1044"/>
      <c r="EH543" s="1044"/>
      <c r="EI543" s="1044"/>
      <c r="EJ543" s="1044"/>
      <c r="EK543" s="1044"/>
      <c r="EL543" s="1044"/>
      <c r="EM543" s="1044"/>
      <c r="EN543" s="1044"/>
      <c r="EO543" s="1044"/>
      <c r="EP543" s="1044"/>
      <c r="EQ543" s="1044"/>
      <c r="ER543" s="1044"/>
      <c r="ES543" s="1044"/>
      <c r="ET543" s="1044"/>
      <c r="EU543" s="1044"/>
      <c r="EV543" s="1044"/>
      <c r="EW543" s="1044"/>
      <c r="EX543" s="1044"/>
      <c r="EY543" s="1044"/>
      <c r="EZ543" s="1044"/>
      <c r="FA543" s="1044"/>
      <c r="FB543" s="1044"/>
      <c r="FC543" s="1044"/>
      <c r="FD543" s="1044"/>
      <c r="FE543" s="1044"/>
      <c r="FF543" s="1044"/>
      <c r="FG543" s="1044"/>
      <c r="FH543" s="1044"/>
      <c r="FI543" s="1044"/>
      <c r="FJ543" s="1044"/>
      <c r="FK543" s="1044"/>
      <c r="FL543" s="1044"/>
      <c r="FM543" s="1044"/>
      <c r="FN543" s="1044"/>
      <c r="FO543" s="1044"/>
      <c r="FP543" s="1044"/>
      <c r="FQ543" s="1044"/>
      <c r="FR543" s="1044"/>
      <c r="FS543" s="1044"/>
      <c r="FT543" s="1044"/>
      <c r="FU543" s="1044"/>
      <c r="FV543" s="1044"/>
      <c r="FW543" s="1044"/>
      <c r="FX543" s="1044"/>
      <c r="FY543" s="1044"/>
      <c r="FZ543" s="1044"/>
      <c r="GA543" s="1044"/>
      <c r="GB543" s="1044"/>
      <c r="GC543" s="1044"/>
      <c r="GD543" s="1044"/>
      <c r="GE543" s="1044"/>
      <c r="GF543" s="1044"/>
      <c r="GG543" s="1044"/>
      <c r="GH543" s="1044"/>
      <c r="GI543" s="1044"/>
      <c r="GJ543" s="1044"/>
      <c r="GK543" s="1044"/>
      <c r="GL543" s="1044"/>
      <c r="GM543" s="1044"/>
      <c r="GN543" s="1044"/>
      <c r="GO543" s="1044"/>
      <c r="GP543" s="1044"/>
      <c r="GQ543" s="1044"/>
      <c r="GR543" s="1044"/>
      <c r="GS543" s="1044"/>
    </row>
    <row r="544" spans="1:201" s="1138" customFormat="1" ht="12.75">
      <c r="A544" s="1137"/>
      <c r="B544" s="1085"/>
      <c r="D544" s="1139"/>
      <c r="F544" s="1085"/>
      <c r="G544" s="1044"/>
      <c r="H544" s="1044"/>
      <c r="I544" s="1044"/>
      <c r="J544" s="1044"/>
      <c r="K544" s="1044"/>
      <c r="L544" s="1044"/>
      <c r="M544" s="1044"/>
      <c r="N544" s="1044"/>
      <c r="O544" s="1044"/>
      <c r="P544" s="1044"/>
      <c r="Q544" s="1044"/>
      <c r="R544" s="1044"/>
      <c r="S544" s="1044"/>
      <c r="T544" s="1044"/>
      <c r="U544" s="1044"/>
      <c r="V544" s="1044"/>
      <c r="W544" s="1044"/>
      <c r="X544" s="1044"/>
      <c r="Y544" s="1044"/>
      <c r="Z544" s="1044"/>
      <c r="AA544" s="1044"/>
      <c r="AB544" s="1044"/>
      <c r="AC544" s="1044"/>
      <c r="AD544" s="1044"/>
      <c r="AE544" s="1044"/>
      <c r="AF544" s="1044"/>
      <c r="AG544" s="1044"/>
      <c r="AH544" s="1044"/>
      <c r="AI544" s="1044"/>
      <c r="AJ544" s="1044"/>
      <c r="AK544" s="1044"/>
      <c r="AL544" s="1044"/>
      <c r="AM544" s="1044"/>
      <c r="AN544" s="1044"/>
      <c r="AO544" s="1044"/>
      <c r="AP544" s="1044"/>
      <c r="AQ544" s="1044"/>
      <c r="AR544" s="1044"/>
      <c r="AS544" s="1044"/>
      <c r="AT544" s="1044"/>
      <c r="AU544" s="1044"/>
      <c r="AV544" s="1044"/>
      <c r="AW544" s="1044"/>
      <c r="AX544" s="1044"/>
      <c r="AY544" s="1044"/>
      <c r="AZ544" s="1044"/>
      <c r="BA544" s="1044"/>
      <c r="BB544" s="1044"/>
      <c r="BC544" s="1044"/>
      <c r="BD544" s="1044"/>
      <c r="BE544" s="1044"/>
      <c r="BF544" s="1044"/>
      <c r="BG544" s="1044"/>
      <c r="BH544" s="1044"/>
      <c r="BI544" s="1044"/>
      <c r="BJ544" s="1044"/>
      <c r="BK544" s="1044"/>
      <c r="BL544" s="1044"/>
      <c r="BM544" s="1044"/>
      <c r="BN544" s="1044"/>
      <c r="BO544" s="1044"/>
      <c r="BP544" s="1044"/>
      <c r="BQ544" s="1044"/>
      <c r="BR544" s="1044"/>
      <c r="BS544" s="1044"/>
      <c r="BT544" s="1044"/>
      <c r="BU544" s="1044"/>
      <c r="BV544" s="1044"/>
      <c r="BW544" s="1044"/>
      <c r="BX544" s="1044"/>
      <c r="BY544" s="1044"/>
      <c r="BZ544" s="1044"/>
      <c r="CA544" s="1044"/>
      <c r="CB544" s="1044"/>
      <c r="CC544" s="1044"/>
      <c r="CD544" s="1044"/>
      <c r="CE544" s="1044"/>
      <c r="CF544" s="1044"/>
      <c r="CG544" s="1044"/>
      <c r="CH544" s="1044"/>
      <c r="CI544" s="1044"/>
      <c r="CJ544" s="1044"/>
      <c r="CK544" s="1044"/>
      <c r="CL544" s="1044"/>
      <c r="CM544" s="1044"/>
      <c r="CN544" s="1044"/>
      <c r="CO544" s="1044"/>
      <c r="CP544" s="1044"/>
      <c r="CQ544" s="1044"/>
      <c r="CR544" s="1044"/>
      <c r="CS544" s="1044"/>
      <c r="CT544" s="1044"/>
      <c r="CU544" s="1044"/>
      <c r="CV544" s="1044"/>
      <c r="CW544" s="1044"/>
      <c r="CX544" s="1044"/>
      <c r="CY544" s="1044"/>
      <c r="CZ544" s="1044"/>
      <c r="DA544" s="1044"/>
      <c r="DB544" s="1044"/>
      <c r="DC544" s="1044"/>
      <c r="DD544" s="1044"/>
      <c r="DE544" s="1044"/>
      <c r="DF544" s="1044"/>
      <c r="DG544" s="1044"/>
      <c r="DH544" s="1044"/>
      <c r="DI544" s="1044"/>
      <c r="DJ544" s="1044"/>
      <c r="DK544" s="1044"/>
      <c r="DL544" s="1044"/>
      <c r="DM544" s="1044"/>
      <c r="DN544" s="1044"/>
      <c r="DO544" s="1044"/>
      <c r="DP544" s="1044"/>
      <c r="DQ544" s="1044"/>
      <c r="DR544" s="1044"/>
      <c r="DS544" s="1044"/>
      <c r="DT544" s="1044"/>
      <c r="DU544" s="1044"/>
      <c r="DV544" s="1044"/>
      <c r="DW544" s="1044"/>
      <c r="DX544" s="1044"/>
      <c r="DY544" s="1044"/>
      <c r="DZ544" s="1044"/>
      <c r="EA544" s="1044"/>
      <c r="EB544" s="1044"/>
      <c r="EC544" s="1044"/>
      <c r="ED544" s="1044"/>
      <c r="EE544" s="1044"/>
      <c r="EF544" s="1044"/>
      <c r="EG544" s="1044"/>
      <c r="EH544" s="1044"/>
      <c r="EI544" s="1044"/>
      <c r="EJ544" s="1044"/>
      <c r="EK544" s="1044"/>
      <c r="EL544" s="1044"/>
      <c r="EM544" s="1044"/>
      <c r="EN544" s="1044"/>
      <c r="EO544" s="1044"/>
      <c r="EP544" s="1044"/>
      <c r="EQ544" s="1044"/>
      <c r="ER544" s="1044"/>
      <c r="ES544" s="1044"/>
      <c r="ET544" s="1044"/>
      <c r="EU544" s="1044"/>
      <c r="EV544" s="1044"/>
      <c r="EW544" s="1044"/>
      <c r="EX544" s="1044"/>
      <c r="EY544" s="1044"/>
      <c r="EZ544" s="1044"/>
      <c r="FA544" s="1044"/>
      <c r="FB544" s="1044"/>
      <c r="FC544" s="1044"/>
      <c r="FD544" s="1044"/>
      <c r="FE544" s="1044"/>
      <c r="FF544" s="1044"/>
      <c r="FG544" s="1044"/>
      <c r="FH544" s="1044"/>
      <c r="FI544" s="1044"/>
      <c r="FJ544" s="1044"/>
      <c r="FK544" s="1044"/>
      <c r="FL544" s="1044"/>
      <c r="FM544" s="1044"/>
      <c r="FN544" s="1044"/>
      <c r="FO544" s="1044"/>
      <c r="FP544" s="1044"/>
      <c r="FQ544" s="1044"/>
      <c r="FR544" s="1044"/>
      <c r="FS544" s="1044"/>
      <c r="FT544" s="1044"/>
      <c r="FU544" s="1044"/>
      <c r="FV544" s="1044"/>
      <c r="FW544" s="1044"/>
      <c r="FX544" s="1044"/>
      <c r="FY544" s="1044"/>
      <c r="FZ544" s="1044"/>
      <c r="GA544" s="1044"/>
      <c r="GB544" s="1044"/>
      <c r="GC544" s="1044"/>
      <c r="GD544" s="1044"/>
      <c r="GE544" s="1044"/>
      <c r="GF544" s="1044"/>
      <c r="GG544" s="1044"/>
      <c r="GH544" s="1044"/>
      <c r="GI544" s="1044"/>
      <c r="GJ544" s="1044"/>
      <c r="GK544" s="1044"/>
      <c r="GL544" s="1044"/>
      <c r="GM544" s="1044"/>
      <c r="GN544" s="1044"/>
      <c r="GO544" s="1044"/>
      <c r="GP544" s="1044"/>
      <c r="GQ544" s="1044"/>
      <c r="GR544" s="1044"/>
      <c r="GS544" s="1044"/>
    </row>
    <row r="545" spans="1:201" s="1138" customFormat="1" ht="12.75">
      <c r="A545" s="1137"/>
      <c r="B545" s="1085"/>
      <c r="D545" s="1139"/>
      <c r="F545" s="1085"/>
      <c r="G545" s="1044"/>
      <c r="H545" s="1044"/>
      <c r="I545" s="1044"/>
      <c r="J545" s="1044"/>
      <c r="K545" s="1044"/>
      <c r="L545" s="1044"/>
      <c r="M545" s="1044"/>
      <c r="N545" s="1044"/>
      <c r="O545" s="1044"/>
      <c r="P545" s="1044"/>
      <c r="Q545" s="1044"/>
      <c r="R545" s="1044"/>
      <c r="S545" s="1044"/>
      <c r="T545" s="1044"/>
      <c r="U545" s="1044"/>
      <c r="V545" s="1044"/>
      <c r="W545" s="1044"/>
      <c r="X545" s="1044"/>
      <c r="Y545" s="1044"/>
      <c r="Z545" s="1044"/>
      <c r="AA545" s="1044"/>
      <c r="AB545" s="1044"/>
      <c r="AC545" s="1044"/>
      <c r="AD545" s="1044"/>
      <c r="AE545" s="1044"/>
      <c r="AF545" s="1044"/>
      <c r="AG545" s="1044"/>
      <c r="AH545" s="1044"/>
      <c r="AI545" s="1044"/>
      <c r="AJ545" s="1044"/>
      <c r="AK545" s="1044"/>
      <c r="AL545" s="1044"/>
      <c r="AM545" s="1044"/>
      <c r="AN545" s="1044"/>
      <c r="AO545" s="1044"/>
      <c r="AP545" s="1044"/>
      <c r="AQ545" s="1044"/>
      <c r="AR545" s="1044"/>
      <c r="AS545" s="1044"/>
      <c r="AT545" s="1044"/>
      <c r="AU545" s="1044"/>
      <c r="AV545" s="1044"/>
      <c r="AW545" s="1044"/>
      <c r="AX545" s="1044"/>
      <c r="AY545" s="1044"/>
      <c r="AZ545" s="1044"/>
      <c r="BA545" s="1044"/>
      <c r="BB545" s="1044"/>
      <c r="BC545" s="1044"/>
      <c r="BD545" s="1044"/>
      <c r="BE545" s="1044"/>
      <c r="BF545" s="1044"/>
      <c r="BG545" s="1044"/>
      <c r="BH545" s="1044"/>
      <c r="BI545" s="1044"/>
      <c r="BJ545" s="1044"/>
      <c r="BK545" s="1044"/>
      <c r="BL545" s="1044"/>
      <c r="BM545" s="1044"/>
      <c r="BN545" s="1044"/>
      <c r="BO545" s="1044"/>
      <c r="BP545" s="1044"/>
      <c r="BQ545" s="1044"/>
      <c r="BR545" s="1044"/>
      <c r="BS545" s="1044"/>
      <c r="BT545" s="1044"/>
      <c r="BU545" s="1044"/>
      <c r="BV545" s="1044"/>
      <c r="BW545" s="1044"/>
      <c r="BX545" s="1044"/>
      <c r="BY545" s="1044"/>
      <c r="BZ545" s="1044"/>
      <c r="CA545" s="1044"/>
      <c r="CB545" s="1044"/>
      <c r="CC545" s="1044"/>
      <c r="CD545" s="1044"/>
      <c r="CE545" s="1044"/>
      <c r="CF545" s="1044"/>
      <c r="CG545" s="1044"/>
      <c r="CH545" s="1044"/>
      <c r="CI545" s="1044"/>
      <c r="CJ545" s="1044"/>
      <c r="CK545" s="1044"/>
      <c r="CL545" s="1044"/>
      <c r="CM545" s="1044"/>
      <c r="CN545" s="1044"/>
      <c r="CO545" s="1044"/>
      <c r="CP545" s="1044"/>
      <c r="CQ545" s="1044"/>
      <c r="CR545" s="1044"/>
      <c r="CS545" s="1044"/>
      <c r="CT545" s="1044"/>
      <c r="CU545" s="1044"/>
      <c r="CV545" s="1044"/>
      <c r="CW545" s="1044"/>
      <c r="CX545" s="1044"/>
      <c r="CY545" s="1044"/>
      <c r="CZ545" s="1044"/>
      <c r="DA545" s="1044"/>
      <c r="DB545" s="1044"/>
      <c r="DC545" s="1044"/>
      <c r="DD545" s="1044"/>
      <c r="DE545" s="1044"/>
      <c r="DF545" s="1044"/>
      <c r="DG545" s="1044"/>
      <c r="DH545" s="1044"/>
      <c r="DI545" s="1044"/>
      <c r="DJ545" s="1044"/>
      <c r="DK545" s="1044"/>
      <c r="DL545" s="1044"/>
      <c r="DM545" s="1044"/>
      <c r="DN545" s="1044"/>
      <c r="DO545" s="1044"/>
      <c r="DP545" s="1044"/>
      <c r="DQ545" s="1044"/>
      <c r="DR545" s="1044"/>
      <c r="DS545" s="1044"/>
      <c r="DT545" s="1044"/>
      <c r="DU545" s="1044"/>
      <c r="DV545" s="1044"/>
      <c r="DW545" s="1044"/>
      <c r="DX545" s="1044"/>
      <c r="DY545" s="1044"/>
      <c r="DZ545" s="1044"/>
      <c r="EA545" s="1044"/>
      <c r="EB545" s="1044"/>
      <c r="EC545" s="1044"/>
      <c r="ED545" s="1044"/>
      <c r="EE545" s="1044"/>
      <c r="EF545" s="1044"/>
      <c r="EG545" s="1044"/>
      <c r="EH545" s="1044"/>
      <c r="EI545" s="1044"/>
      <c r="EJ545" s="1044"/>
      <c r="EK545" s="1044"/>
      <c r="EL545" s="1044"/>
      <c r="EM545" s="1044"/>
      <c r="EN545" s="1044"/>
      <c r="EO545" s="1044"/>
      <c r="EP545" s="1044"/>
      <c r="EQ545" s="1044"/>
      <c r="ER545" s="1044"/>
      <c r="ES545" s="1044"/>
      <c r="ET545" s="1044"/>
      <c r="EU545" s="1044"/>
      <c r="EV545" s="1044"/>
      <c r="EW545" s="1044"/>
      <c r="EX545" s="1044"/>
      <c r="EY545" s="1044"/>
      <c r="EZ545" s="1044"/>
      <c r="FA545" s="1044"/>
      <c r="FB545" s="1044"/>
      <c r="FC545" s="1044"/>
      <c r="FD545" s="1044"/>
      <c r="FE545" s="1044"/>
      <c r="FF545" s="1044"/>
      <c r="FG545" s="1044"/>
      <c r="FH545" s="1044"/>
      <c r="FI545" s="1044"/>
      <c r="FJ545" s="1044"/>
      <c r="FK545" s="1044"/>
      <c r="FL545" s="1044"/>
      <c r="FM545" s="1044"/>
      <c r="FN545" s="1044"/>
      <c r="FO545" s="1044"/>
      <c r="FP545" s="1044"/>
      <c r="FQ545" s="1044"/>
      <c r="FR545" s="1044"/>
      <c r="FS545" s="1044"/>
      <c r="FT545" s="1044"/>
      <c r="FU545" s="1044"/>
      <c r="FV545" s="1044"/>
      <c r="FW545" s="1044"/>
      <c r="FX545" s="1044"/>
      <c r="FY545" s="1044"/>
      <c r="FZ545" s="1044"/>
      <c r="GA545" s="1044"/>
      <c r="GB545" s="1044"/>
      <c r="GC545" s="1044"/>
      <c r="GD545" s="1044"/>
      <c r="GE545" s="1044"/>
      <c r="GF545" s="1044"/>
      <c r="GG545" s="1044"/>
      <c r="GH545" s="1044"/>
      <c r="GI545" s="1044"/>
      <c r="GJ545" s="1044"/>
      <c r="GK545" s="1044"/>
      <c r="GL545" s="1044"/>
      <c r="GM545" s="1044"/>
      <c r="GN545" s="1044"/>
      <c r="GO545" s="1044"/>
      <c r="GP545" s="1044"/>
      <c r="GQ545" s="1044"/>
      <c r="GR545" s="1044"/>
      <c r="GS545" s="1044"/>
    </row>
    <row r="546" spans="1:201" s="1138" customFormat="1" ht="12.75">
      <c r="A546" s="1137"/>
      <c r="B546" s="1085"/>
      <c r="D546" s="1139"/>
      <c r="F546" s="1085"/>
      <c r="G546" s="1044"/>
      <c r="H546" s="1044"/>
      <c r="I546" s="1044"/>
      <c r="J546" s="1044"/>
      <c r="K546" s="1044"/>
      <c r="L546" s="1044"/>
      <c r="M546" s="1044"/>
      <c r="N546" s="1044"/>
      <c r="O546" s="1044"/>
      <c r="P546" s="1044"/>
      <c r="Q546" s="1044"/>
      <c r="R546" s="1044"/>
      <c r="S546" s="1044"/>
      <c r="T546" s="1044"/>
      <c r="U546" s="1044"/>
      <c r="V546" s="1044"/>
      <c r="W546" s="1044"/>
      <c r="X546" s="1044"/>
      <c r="Y546" s="1044"/>
      <c r="Z546" s="1044"/>
      <c r="AA546" s="1044"/>
      <c r="AB546" s="1044"/>
      <c r="AC546" s="1044"/>
      <c r="AD546" s="1044"/>
      <c r="AE546" s="1044"/>
      <c r="AF546" s="1044"/>
      <c r="AG546" s="1044"/>
      <c r="AH546" s="1044"/>
      <c r="AI546" s="1044"/>
      <c r="AJ546" s="1044"/>
      <c r="AK546" s="1044"/>
      <c r="AL546" s="1044"/>
      <c r="AM546" s="1044"/>
      <c r="AN546" s="1044"/>
      <c r="AO546" s="1044"/>
      <c r="AP546" s="1044"/>
      <c r="AQ546" s="1044"/>
      <c r="AR546" s="1044"/>
      <c r="AS546" s="1044"/>
      <c r="AT546" s="1044"/>
      <c r="AU546" s="1044"/>
      <c r="AV546" s="1044"/>
      <c r="AW546" s="1044"/>
      <c r="AX546" s="1044"/>
      <c r="AY546" s="1044"/>
      <c r="AZ546" s="1044"/>
      <c r="BA546" s="1044"/>
      <c r="BB546" s="1044"/>
      <c r="BC546" s="1044"/>
      <c r="BD546" s="1044"/>
      <c r="BE546" s="1044"/>
      <c r="BF546" s="1044"/>
      <c r="BG546" s="1044"/>
      <c r="BH546" s="1044"/>
      <c r="BI546" s="1044"/>
      <c r="BJ546" s="1044"/>
      <c r="BK546" s="1044"/>
      <c r="BL546" s="1044"/>
      <c r="BM546" s="1044"/>
      <c r="BN546" s="1044"/>
      <c r="BO546" s="1044"/>
      <c r="BP546" s="1044"/>
      <c r="BQ546" s="1044"/>
      <c r="BR546" s="1044"/>
      <c r="BS546" s="1044"/>
      <c r="BT546" s="1044"/>
      <c r="BU546" s="1044"/>
      <c r="BV546" s="1044"/>
      <c r="BW546" s="1044"/>
      <c r="BX546" s="1044"/>
      <c r="BY546" s="1044"/>
      <c r="BZ546" s="1044"/>
      <c r="CA546" s="1044"/>
      <c r="CB546" s="1044"/>
      <c r="CC546" s="1044"/>
      <c r="CD546" s="1044"/>
      <c r="CE546" s="1044"/>
      <c r="CF546" s="1044"/>
      <c r="CG546" s="1044"/>
      <c r="CH546" s="1044"/>
      <c r="CI546" s="1044"/>
      <c r="CJ546" s="1044"/>
      <c r="CK546" s="1044"/>
      <c r="CL546" s="1044"/>
      <c r="CM546" s="1044"/>
      <c r="CN546" s="1044"/>
      <c r="CO546" s="1044"/>
      <c r="CP546" s="1044"/>
      <c r="CQ546" s="1044"/>
      <c r="CR546" s="1044"/>
      <c r="CS546" s="1044"/>
      <c r="CT546" s="1044"/>
      <c r="CU546" s="1044"/>
      <c r="CV546" s="1044"/>
      <c r="CW546" s="1044"/>
      <c r="CX546" s="1044"/>
      <c r="CY546" s="1044"/>
      <c r="CZ546" s="1044"/>
      <c r="DA546" s="1044"/>
      <c r="DB546" s="1044"/>
      <c r="DC546" s="1044"/>
      <c r="DD546" s="1044"/>
      <c r="DE546" s="1044"/>
      <c r="DF546" s="1044"/>
      <c r="DG546" s="1044"/>
      <c r="DH546" s="1044"/>
      <c r="DI546" s="1044"/>
      <c r="DJ546" s="1044"/>
      <c r="DK546" s="1044"/>
      <c r="DL546" s="1044"/>
      <c r="DM546" s="1044"/>
      <c r="DN546" s="1044"/>
      <c r="DO546" s="1044"/>
      <c r="DP546" s="1044"/>
      <c r="DQ546" s="1044"/>
      <c r="DR546" s="1044"/>
      <c r="DS546" s="1044"/>
      <c r="DT546" s="1044"/>
      <c r="DU546" s="1044"/>
      <c r="DV546" s="1044"/>
      <c r="DW546" s="1044"/>
      <c r="DX546" s="1044"/>
      <c r="DY546" s="1044"/>
      <c r="DZ546" s="1044"/>
      <c r="EA546" s="1044"/>
      <c r="EB546" s="1044"/>
      <c r="EC546" s="1044"/>
      <c r="ED546" s="1044"/>
      <c r="EE546" s="1044"/>
      <c r="EF546" s="1044"/>
      <c r="EG546" s="1044"/>
      <c r="EH546" s="1044"/>
      <c r="EI546" s="1044"/>
      <c r="EJ546" s="1044"/>
      <c r="EK546" s="1044"/>
      <c r="EL546" s="1044"/>
      <c r="EM546" s="1044"/>
      <c r="EN546" s="1044"/>
      <c r="EO546" s="1044"/>
      <c r="EP546" s="1044"/>
      <c r="EQ546" s="1044"/>
      <c r="ER546" s="1044"/>
      <c r="ES546" s="1044"/>
      <c r="ET546" s="1044"/>
      <c r="EU546" s="1044"/>
      <c r="EV546" s="1044"/>
      <c r="EW546" s="1044"/>
      <c r="EX546" s="1044"/>
      <c r="EY546" s="1044"/>
      <c r="EZ546" s="1044"/>
      <c r="FA546" s="1044"/>
      <c r="FB546" s="1044"/>
      <c r="FC546" s="1044"/>
      <c r="FD546" s="1044"/>
      <c r="FE546" s="1044"/>
      <c r="FF546" s="1044"/>
      <c r="FG546" s="1044"/>
      <c r="FH546" s="1044"/>
      <c r="FI546" s="1044"/>
      <c r="FJ546" s="1044"/>
      <c r="FK546" s="1044"/>
      <c r="FL546" s="1044"/>
      <c r="FM546" s="1044"/>
      <c r="FN546" s="1044"/>
      <c r="FO546" s="1044"/>
      <c r="FP546" s="1044"/>
      <c r="FQ546" s="1044"/>
      <c r="FR546" s="1044"/>
      <c r="FS546" s="1044"/>
      <c r="FT546" s="1044"/>
      <c r="FU546" s="1044"/>
      <c r="FV546" s="1044"/>
      <c r="FW546" s="1044"/>
      <c r="FX546" s="1044"/>
      <c r="FY546" s="1044"/>
      <c r="FZ546" s="1044"/>
      <c r="GA546" s="1044"/>
      <c r="GB546" s="1044"/>
      <c r="GC546" s="1044"/>
      <c r="GD546" s="1044"/>
      <c r="GE546" s="1044"/>
      <c r="GF546" s="1044"/>
      <c r="GG546" s="1044"/>
      <c r="GH546" s="1044"/>
      <c r="GI546" s="1044"/>
      <c r="GJ546" s="1044"/>
      <c r="GK546" s="1044"/>
      <c r="GL546" s="1044"/>
      <c r="GM546" s="1044"/>
      <c r="GN546" s="1044"/>
      <c r="GO546" s="1044"/>
      <c r="GP546" s="1044"/>
      <c r="GQ546" s="1044"/>
      <c r="GR546" s="1044"/>
      <c r="GS546" s="1044"/>
    </row>
    <row r="547" spans="1:201" s="1138" customFormat="1" ht="12.75">
      <c r="A547" s="1137"/>
      <c r="B547" s="1085"/>
      <c r="D547" s="1139"/>
      <c r="F547" s="1085"/>
      <c r="G547" s="1044"/>
      <c r="H547" s="1044"/>
      <c r="I547" s="1044"/>
      <c r="J547" s="1044"/>
      <c r="K547" s="1044"/>
      <c r="L547" s="1044"/>
      <c r="M547" s="1044"/>
      <c r="N547" s="1044"/>
      <c r="O547" s="1044"/>
      <c r="P547" s="1044"/>
      <c r="Q547" s="1044"/>
      <c r="R547" s="1044"/>
      <c r="S547" s="1044"/>
      <c r="T547" s="1044"/>
      <c r="U547" s="1044"/>
      <c r="V547" s="1044"/>
      <c r="W547" s="1044"/>
      <c r="X547" s="1044"/>
      <c r="Y547" s="1044"/>
      <c r="Z547" s="1044"/>
      <c r="AA547" s="1044"/>
      <c r="AB547" s="1044"/>
      <c r="AC547" s="1044"/>
      <c r="AD547" s="1044"/>
      <c r="AE547" s="1044"/>
      <c r="AF547" s="1044"/>
      <c r="AG547" s="1044"/>
      <c r="AH547" s="1044"/>
      <c r="AI547" s="1044"/>
      <c r="AJ547" s="1044"/>
      <c r="AK547" s="1044"/>
      <c r="AL547" s="1044"/>
      <c r="AM547" s="1044"/>
      <c r="AN547" s="1044"/>
      <c r="AO547" s="1044"/>
      <c r="AP547" s="1044"/>
      <c r="AQ547" s="1044"/>
      <c r="AR547" s="1044"/>
      <c r="AS547" s="1044"/>
      <c r="AT547" s="1044"/>
      <c r="AU547" s="1044"/>
      <c r="AV547" s="1044"/>
      <c r="AW547" s="1044"/>
      <c r="AX547" s="1044"/>
      <c r="AY547" s="1044"/>
      <c r="AZ547" s="1044"/>
      <c r="BA547" s="1044"/>
      <c r="BB547" s="1044"/>
      <c r="BC547" s="1044"/>
      <c r="BD547" s="1044"/>
      <c r="BE547" s="1044"/>
      <c r="BF547" s="1044"/>
      <c r="BG547" s="1044"/>
      <c r="BH547" s="1044"/>
      <c r="BI547" s="1044"/>
      <c r="BJ547" s="1044"/>
      <c r="BK547" s="1044"/>
      <c r="BL547" s="1044"/>
      <c r="BM547" s="1044"/>
      <c r="BN547" s="1044"/>
      <c r="BO547" s="1044"/>
      <c r="BP547" s="1044"/>
      <c r="BQ547" s="1044"/>
      <c r="BR547" s="1044"/>
      <c r="BS547" s="1044"/>
      <c r="BT547" s="1044"/>
      <c r="BU547" s="1044"/>
      <c r="BV547" s="1044"/>
      <c r="BW547" s="1044"/>
      <c r="BX547" s="1044"/>
      <c r="BY547" s="1044"/>
      <c r="BZ547" s="1044"/>
      <c r="CA547" s="1044"/>
      <c r="CB547" s="1044"/>
      <c r="CC547" s="1044"/>
      <c r="CD547" s="1044"/>
      <c r="CE547" s="1044"/>
      <c r="CF547" s="1044"/>
      <c r="CG547" s="1044"/>
      <c r="CH547" s="1044"/>
      <c r="CI547" s="1044"/>
      <c r="CJ547" s="1044"/>
      <c r="CK547" s="1044"/>
      <c r="CL547" s="1044"/>
      <c r="CM547" s="1044"/>
      <c r="CN547" s="1044"/>
      <c r="CO547" s="1044"/>
      <c r="CP547" s="1044"/>
      <c r="CQ547" s="1044"/>
      <c r="CR547" s="1044"/>
      <c r="CS547" s="1044"/>
      <c r="CT547" s="1044"/>
      <c r="CU547" s="1044"/>
      <c r="CV547" s="1044"/>
      <c r="CW547" s="1044"/>
      <c r="CX547" s="1044"/>
      <c r="CY547" s="1044"/>
      <c r="CZ547" s="1044"/>
      <c r="DA547" s="1044"/>
      <c r="DB547" s="1044"/>
      <c r="DC547" s="1044"/>
      <c r="DD547" s="1044"/>
      <c r="DE547" s="1044"/>
      <c r="DF547" s="1044"/>
      <c r="DG547" s="1044"/>
      <c r="DH547" s="1044"/>
      <c r="DI547" s="1044"/>
      <c r="DJ547" s="1044"/>
      <c r="DK547" s="1044"/>
      <c r="DL547" s="1044"/>
      <c r="DM547" s="1044"/>
      <c r="DN547" s="1044"/>
      <c r="DO547" s="1044"/>
      <c r="DP547" s="1044"/>
      <c r="DQ547" s="1044"/>
      <c r="DR547" s="1044"/>
      <c r="DS547" s="1044"/>
      <c r="DT547" s="1044"/>
      <c r="DU547" s="1044"/>
      <c r="DV547" s="1044"/>
      <c r="DW547" s="1044"/>
      <c r="DX547" s="1044"/>
      <c r="DY547" s="1044"/>
      <c r="DZ547" s="1044"/>
      <c r="EA547" s="1044"/>
      <c r="EB547" s="1044"/>
      <c r="EC547" s="1044"/>
      <c r="ED547" s="1044"/>
      <c r="EE547" s="1044"/>
      <c r="EF547" s="1044"/>
      <c r="EG547" s="1044"/>
      <c r="EH547" s="1044"/>
      <c r="EI547" s="1044"/>
      <c r="EJ547" s="1044"/>
      <c r="EK547" s="1044"/>
      <c r="EL547" s="1044"/>
      <c r="EM547" s="1044"/>
      <c r="EN547" s="1044"/>
      <c r="EO547" s="1044"/>
      <c r="EP547" s="1044"/>
      <c r="EQ547" s="1044"/>
      <c r="ER547" s="1044"/>
      <c r="ES547" s="1044"/>
      <c r="ET547" s="1044"/>
      <c r="EU547" s="1044"/>
      <c r="EV547" s="1044"/>
      <c r="EW547" s="1044"/>
      <c r="EX547" s="1044"/>
      <c r="EY547" s="1044"/>
      <c r="EZ547" s="1044"/>
      <c r="FA547" s="1044"/>
      <c r="FB547" s="1044"/>
      <c r="FC547" s="1044"/>
      <c r="FD547" s="1044"/>
      <c r="FE547" s="1044"/>
      <c r="FF547" s="1044"/>
      <c r="FG547" s="1044"/>
      <c r="FH547" s="1044"/>
      <c r="FI547" s="1044"/>
      <c r="FJ547" s="1044"/>
      <c r="FK547" s="1044"/>
      <c r="FL547" s="1044"/>
      <c r="FM547" s="1044"/>
      <c r="FN547" s="1044"/>
      <c r="FO547" s="1044"/>
      <c r="FP547" s="1044"/>
      <c r="FQ547" s="1044"/>
      <c r="FR547" s="1044"/>
      <c r="FS547" s="1044"/>
      <c r="FT547" s="1044"/>
      <c r="FU547" s="1044"/>
      <c r="FV547" s="1044"/>
      <c r="FW547" s="1044"/>
      <c r="FX547" s="1044"/>
      <c r="FY547" s="1044"/>
      <c r="FZ547" s="1044"/>
      <c r="GA547" s="1044"/>
      <c r="GB547" s="1044"/>
      <c r="GC547" s="1044"/>
      <c r="GD547" s="1044"/>
      <c r="GE547" s="1044"/>
      <c r="GF547" s="1044"/>
      <c r="GG547" s="1044"/>
      <c r="GH547" s="1044"/>
      <c r="GI547" s="1044"/>
      <c r="GJ547" s="1044"/>
      <c r="GK547" s="1044"/>
      <c r="GL547" s="1044"/>
      <c r="GM547" s="1044"/>
      <c r="GN547" s="1044"/>
      <c r="GO547" s="1044"/>
      <c r="GP547" s="1044"/>
      <c r="GQ547" s="1044"/>
      <c r="GR547" s="1044"/>
      <c r="GS547" s="1044"/>
    </row>
    <row r="548" spans="1:201" s="1138" customFormat="1" ht="12.75">
      <c r="A548" s="1137"/>
      <c r="B548" s="1085"/>
      <c r="D548" s="1139"/>
      <c r="F548" s="1085"/>
      <c r="G548" s="1044"/>
      <c r="H548" s="1044"/>
      <c r="I548" s="1044"/>
      <c r="J548" s="1044"/>
      <c r="K548" s="1044"/>
      <c r="L548" s="1044"/>
      <c r="M548" s="1044"/>
      <c r="N548" s="1044"/>
      <c r="O548" s="1044"/>
      <c r="P548" s="1044"/>
      <c r="Q548" s="1044"/>
      <c r="R548" s="1044"/>
      <c r="S548" s="1044"/>
      <c r="T548" s="1044"/>
      <c r="U548" s="1044"/>
      <c r="V548" s="1044"/>
      <c r="W548" s="1044"/>
      <c r="X548" s="1044"/>
      <c r="Y548" s="1044"/>
      <c r="Z548" s="1044"/>
      <c r="AA548" s="1044"/>
      <c r="AB548" s="1044"/>
      <c r="AC548" s="1044"/>
      <c r="AD548" s="1044"/>
      <c r="AE548" s="1044"/>
      <c r="AF548" s="1044"/>
      <c r="AG548" s="1044"/>
      <c r="AH548" s="1044"/>
      <c r="AI548" s="1044"/>
      <c r="AJ548" s="1044"/>
      <c r="AK548" s="1044"/>
      <c r="AL548" s="1044"/>
      <c r="AM548" s="1044"/>
      <c r="AN548" s="1044"/>
      <c r="AO548" s="1044"/>
      <c r="AP548" s="1044"/>
      <c r="AQ548" s="1044"/>
      <c r="AR548" s="1044"/>
      <c r="AS548" s="1044"/>
      <c r="AT548" s="1044"/>
      <c r="AU548" s="1044"/>
      <c r="AV548" s="1044"/>
      <c r="AW548" s="1044"/>
      <c r="AX548" s="1044"/>
      <c r="AY548" s="1044"/>
      <c r="AZ548" s="1044"/>
      <c r="BA548" s="1044"/>
      <c r="BB548" s="1044"/>
      <c r="BC548" s="1044"/>
      <c r="BD548" s="1044"/>
      <c r="BE548" s="1044"/>
      <c r="BF548" s="1044"/>
      <c r="BG548" s="1044"/>
      <c r="BH548" s="1044"/>
      <c r="BI548" s="1044"/>
      <c r="BJ548" s="1044"/>
      <c r="BK548" s="1044"/>
      <c r="BL548" s="1044"/>
      <c r="BM548" s="1044"/>
      <c r="BN548" s="1044"/>
      <c r="BO548" s="1044"/>
      <c r="BP548" s="1044"/>
      <c r="BQ548" s="1044"/>
      <c r="BR548" s="1044"/>
      <c r="BS548" s="1044"/>
      <c r="BT548" s="1044"/>
      <c r="BU548" s="1044"/>
      <c r="BV548" s="1044"/>
      <c r="BW548" s="1044"/>
      <c r="BX548" s="1044"/>
      <c r="BY548" s="1044"/>
      <c r="BZ548" s="1044"/>
      <c r="CA548" s="1044"/>
      <c r="CB548" s="1044"/>
      <c r="CC548" s="1044"/>
      <c r="CD548" s="1044"/>
      <c r="CE548" s="1044"/>
      <c r="CF548" s="1044"/>
      <c r="CG548" s="1044"/>
      <c r="CH548" s="1044"/>
      <c r="CI548" s="1044"/>
      <c r="CJ548" s="1044"/>
      <c r="CK548" s="1044"/>
      <c r="CL548" s="1044"/>
      <c r="CM548" s="1044"/>
      <c r="CN548" s="1044"/>
      <c r="CO548" s="1044"/>
      <c r="CP548" s="1044"/>
      <c r="CQ548" s="1044"/>
      <c r="CR548" s="1044"/>
      <c r="CS548" s="1044"/>
      <c r="CT548" s="1044"/>
      <c r="CU548" s="1044"/>
      <c r="CV548" s="1044"/>
      <c r="CW548" s="1044"/>
      <c r="CX548" s="1044"/>
      <c r="CY548" s="1044"/>
      <c r="CZ548" s="1044"/>
      <c r="DA548" s="1044"/>
      <c r="DB548" s="1044"/>
      <c r="DC548" s="1044"/>
      <c r="DD548" s="1044"/>
      <c r="DE548" s="1044"/>
      <c r="DF548" s="1044"/>
      <c r="DG548" s="1044"/>
      <c r="DH548" s="1044"/>
      <c r="DI548" s="1044"/>
      <c r="DJ548" s="1044"/>
      <c r="DK548" s="1044"/>
      <c r="DL548" s="1044"/>
      <c r="DM548" s="1044"/>
      <c r="DN548" s="1044"/>
      <c r="DO548" s="1044"/>
      <c r="DP548" s="1044"/>
      <c r="DQ548" s="1044"/>
      <c r="DR548" s="1044"/>
      <c r="DS548" s="1044"/>
      <c r="DT548" s="1044"/>
      <c r="DU548" s="1044"/>
      <c r="DV548" s="1044"/>
      <c r="DW548" s="1044"/>
      <c r="DX548" s="1044"/>
      <c r="DY548" s="1044"/>
      <c r="DZ548" s="1044"/>
      <c r="EA548" s="1044"/>
      <c r="EB548" s="1044"/>
      <c r="EC548" s="1044"/>
      <c r="ED548" s="1044"/>
      <c r="EE548" s="1044"/>
      <c r="EF548" s="1044"/>
      <c r="EG548" s="1044"/>
      <c r="EH548" s="1044"/>
      <c r="EI548" s="1044"/>
      <c r="EJ548" s="1044"/>
      <c r="EK548" s="1044"/>
      <c r="EL548" s="1044"/>
      <c r="EM548" s="1044"/>
      <c r="EN548" s="1044"/>
      <c r="EO548" s="1044"/>
      <c r="EP548" s="1044"/>
      <c r="EQ548" s="1044"/>
      <c r="ER548" s="1044"/>
      <c r="ES548" s="1044"/>
      <c r="ET548" s="1044"/>
      <c r="EU548" s="1044"/>
      <c r="EV548" s="1044"/>
      <c r="EW548" s="1044"/>
      <c r="EX548" s="1044"/>
      <c r="EY548" s="1044"/>
      <c r="EZ548" s="1044"/>
      <c r="FA548" s="1044"/>
      <c r="FB548" s="1044"/>
      <c r="FC548" s="1044"/>
      <c r="FD548" s="1044"/>
      <c r="FE548" s="1044"/>
      <c r="FF548" s="1044"/>
      <c r="FG548" s="1044"/>
      <c r="FH548" s="1044"/>
      <c r="FI548" s="1044"/>
      <c r="FJ548" s="1044"/>
      <c r="FK548" s="1044"/>
      <c r="FL548" s="1044"/>
      <c r="FM548" s="1044"/>
      <c r="FN548" s="1044"/>
      <c r="FO548" s="1044"/>
      <c r="FP548" s="1044"/>
      <c r="FQ548" s="1044"/>
      <c r="FR548" s="1044"/>
      <c r="FS548" s="1044"/>
      <c r="FT548" s="1044"/>
      <c r="FU548" s="1044"/>
      <c r="FV548" s="1044"/>
      <c r="FW548" s="1044"/>
      <c r="FX548" s="1044"/>
      <c r="FY548" s="1044"/>
      <c r="FZ548" s="1044"/>
      <c r="GA548" s="1044"/>
      <c r="GB548" s="1044"/>
      <c r="GC548" s="1044"/>
      <c r="GD548" s="1044"/>
      <c r="GE548" s="1044"/>
      <c r="GF548" s="1044"/>
      <c r="GG548" s="1044"/>
      <c r="GH548" s="1044"/>
      <c r="GI548" s="1044"/>
      <c r="GJ548" s="1044"/>
      <c r="GK548" s="1044"/>
      <c r="GL548" s="1044"/>
      <c r="GM548" s="1044"/>
      <c r="GN548" s="1044"/>
      <c r="GO548" s="1044"/>
      <c r="GP548" s="1044"/>
      <c r="GQ548" s="1044"/>
      <c r="GR548" s="1044"/>
      <c r="GS548" s="1044"/>
    </row>
    <row r="549" spans="1:201" s="1138" customFormat="1" ht="12.75">
      <c r="A549" s="1137"/>
      <c r="B549" s="1085"/>
      <c r="D549" s="1139"/>
      <c r="F549" s="1085"/>
      <c r="G549" s="1044"/>
      <c r="H549" s="1044"/>
      <c r="I549" s="1044"/>
      <c r="J549" s="1044"/>
      <c r="K549" s="1044"/>
      <c r="L549" s="1044"/>
      <c r="M549" s="1044"/>
      <c r="N549" s="1044"/>
      <c r="O549" s="1044"/>
      <c r="P549" s="1044"/>
      <c r="Q549" s="1044"/>
      <c r="R549" s="1044"/>
      <c r="S549" s="1044"/>
      <c r="T549" s="1044"/>
      <c r="U549" s="1044"/>
      <c r="V549" s="1044"/>
      <c r="W549" s="1044"/>
      <c r="X549" s="1044"/>
      <c r="Y549" s="1044"/>
      <c r="Z549" s="1044"/>
      <c r="AA549" s="1044"/>
      <c r="AB549" s="1044"/>
      <c r="AC549" s="1044"/>
      <c r="AD549" s="1044"/>
      <c r="AE549" s="1044"/>
      <c r="AF549" s="1044"/>
      <c r="AG549" s="1044"/>
      <c r="AH549" s="1044"/>
      <c r="AI549" s="1044"/>
      <c r="AJ549" s="1044"/>
      <c r="AK549" s="1044"/>
      <c r="AL549" s="1044"/>
      <c r="AM549" s="1044"/>
      <c r="AN549" s="1044"/>
      <c r="AO549" s="1044"/>
      <c r="AP549" s="1044"/>
      <c r="AQ549" s="1044"/>
      <c r="AR549" s="1044"/>
      <c r="AS549" s="1044"/>
      <c r="AT549" s="1044"/>
      <c r="AU549" s="1044"/>
      <c r="AV549" s="1044"/>
      <c r="AW549" s="1044"/>
      <c r="AX549" s="1044"/>
      <c r="AY549" s="1044"/>
      <c r="AZ549" s="1044"/>
      <c r="BA549" s="1044"/>
      <c r="BB549" s="1044"/>
      <c r="BC549" s="1044"/>
      <c r="BD549" s="1044"/>
      <c r="BE549" s="1044"/>
      <c r="BF549" s="1044"/>
      <c r="BG549" s="1044"/>
      <c r="BH549" s="1044"/>
      <c r="BI549" s="1044"/>
      <c r="BJ549" s="1044"/>
      <c r="BK549" s="1044"/>
      <c r="BL549" s="1044"/>
      <c r="BM549" s="1044"/>
      <c r="BN549" s="1044"/>
      <c r="BO549" s="1044"/>
      <c r="BP549" s="1044"/>
      <c r="BQ549" s="1044"/>
      <c r="BR549" s="1044"/>
      <c r="BS549" s="1044"/>
      <c r="BT549" s="1044"/>
      <c r="BU549" s="1044"/>
      <c r="BV549" s="1044"/>
      <c r="BW549" s="1044"/>
      <c r="BX549" s="1044"/>
      <c r="BY549" s="1044"/>
      <c r="BZ549" s="1044"/>
      <c r="CA549" s="1044"/>
      <c r="CB549" s="1044"/>
      <c r="CC549" s="1044"/>
      <c r="CD549" s="1044"/>
      <c r="CE549" s="1044"/>
      <c r="CF549" s="1044"/>
      <c r="CG549" s="1044"/>
      <c r="CH549" s="1044"/>
      <c r="CI549" s="1044"/>
      <c r="CJ549" s="1044"/>
      <c r="CK549" s="1044"/>
      <c r="CL549" s="1044"/>
      <c r="CM549" s="1044"/>
      <c r="CN549" s="1044"/>
      <c r="CO549" s="1044"/>
      <c r="CP549" s="1044"/>
      <c r="CQ549" s="1044"/>
      <c r="CR549" s="1044"/>
      <c r="CS549" s="1044"/>
      <c r="CT549" s="1044"/>
      <c r="CU549" s="1044"/>
      <c r="CV549" s="1044"/>
      <c r="CW549" s="1044"/>
      <c r="CX549" s="1044"/>
      <c r="CY549" s="1044"/>
      <c r="CZ549" s="1044"/>
      <c r="DA549" s="1044"/>
      <c r="DB549" s="1044"/>
      <c r="DC549" s="1044"/>
      <c r="DD549" s="1044"/>
      <c r="DE549" s="1044"/>
      <c r="DF549" s="1044"/>
      <c r="DG549" s="1044"/>
      <c r="DH549" s="1044"/>
      <c r="DI549" s="1044"/>
      <c r="DJ549" s="1044"/>
      <c r="DK549" s="1044"/>
      <c r="DL549" s="1044"/>
      <c r="DM549" s="1044"/>
      <c r="DN549" s="1044"/>
      <c r="DO549" s="1044"/>
      <c r="DP549" s="1044"/>
      <c r="DQ549" s="1044"/>
      <c r="DR549" s="1044"/>
      <c r="DS549" s="1044"/>
      <c r="DT549" s="1044"/>
      <c r="DU549" s="1044"/>
      <c r="DV549" s="1044"/>
      <c r="DW549" s="1044"/>
      <c r="DX549" s="1044"/>
      <c r="DY549" s="1044"/>
      <c r="DZ549" s="1044"/>
      <c r="EA549" s="1044"/>
      <c r="EB549" s="1044"/>
      <c r="EC549" s="1044"/>
      <c r="ED549" s="1044"/>
      <c r="EE549" s="1044"/>
      <c r="EF549" s="1044"/>
      <c r="EG549" s="1044"/>
      <c r="EH549" s="1044"/>
      <c r="EI549" s="1044"/>
      <c r="EJ549" s="1044"/>
      <c r="EK549" s="1044"/>
      <c r="EL549" s="1044"/>
      <c r="EM549" s="1044"/>
      <c r="EN549" s="1044"/>
      <c r="EO549" s="1044"/>
      <c r="EP549" s="1044"/>
      <c r="EQ549" s="1044"/>
      <c r="ER549" s="1044"/>
      <c r="ES549" s="1044"/>
      <c r="ET549" s="1044"/>
      <c r="EU549" s="1044"/>
      <c r="EV549" s="1044"/>
      <c r="EW549" s="1044"/>
      <c r="EX549" s="1044"/>
      <c r="EY549" s="1044"/>
      <c r="EZ549" s="1044"/>
      <c r="FA549" s="1044"/>
      <c r="FB549" s="1044"/>
      <c r="FC549" s="1044"/>
      <c r="FD549" s="1044"/>
      <c r="FE549" s="1044"/>
      <c r="FF549" s="1044"/>
      <c r="FG549" s="1044"/>
      <c r="FH549" s="1044"/>
      <c r="FI549" s="1044"/>
      <c r="FJ549" s="1044"/>
      <c r="FK549" s="1044"/>
      <c r="FL549" s="1044"/>
      <c r="FM549" s="1044"/>
      <c r="FN549" s="1044"/>
      <c r="FO549" s="1044"/>
      <c r="FP549" s="1044"/>
      <c r="FQ549" s="1044"/>
      <c r="FR549" s="1044"/>
      <c r="FS549" s="1044"/>
      <c r="FT549" s="1044"/>
      <c r="FU549" s="1044"/>
      <c r="FV549" s="1044"/>
      <c r="FW549" s="1044"/>
      <c r="FX549" s="1044"/>
      <c r="FY549" s="1044"/>
      <c r="FZ549" s="1044"/>
      <c r="GA549" s="1044"/>
      <c r="GB549" s="1044"/>
      <c r="GC549" s="1044"/>
      <c r="GD549" s="1044"/>
      <c r="GE549" s="1044"/>
      <c r="GF549" s="1044"/>
      <c r="GG549" s="1044"/>
      <c r="GH549" s="1044"/>
      <c r="GI549" s="1044"/>
      <c r="GJ549" s="1044"/>
      <c r="GK549" s="1044"/>
      <c r="GL549" s="1044"/>
      <c r="GM549" s="1044"/>
      <c r="GN549" s="1044"/>
      <c r="GO549" s="1044"/>
      <c r="GP549" s="1044"/>
      <c r="GQ549" s="1044"/>
      <c r="GR549" s="1044"/>
      <c r="GS549" s="1044"/>
    </row>
    <row r="550" spans="1:201" s="1138" customFormat="1" ht="12.75">
      <c r="A550" s="1137"/>
      <c r="B550" s="1085"/>
      <c r="D550" s="1139"/>
      <c r="F550" s="1085"/>
      <c r="G550" s="1044"/>
      <c r="H550" s="1044"/>
      <c r="I550" s="1044"/>
      <c r="J550" s="1044"/>
      <c r="K550" s="1044"/>
      <c r="L550" s="1044"/>
      <c r="M550" s="1044"/>
      <c r="N550" s="1044"/>
      <c r="O550" s="1044"/>
      <c r="P550" s="1044"/>
      <c r="Q550" s="1044"/>
      <c r="R550" s="1044"/>
      <c r="S550" s="1044"/>
      <c r="T550" s="1044"/>
      <c r="U550" s="1044"/>
      <c r="V550" s="1044"/>
      <c r="W550" s="1044"/>
      <c r="X550" s="1044"/>
      <c r="Y550" s="1044"/>
      <c r="Z550" s="1044"/>
      <c r="AA550" s="1044"/>
      <c r="AB550" s="1044"/>
      <c r="AC550" s="1044"/>
      <c r="AD550" s="1044"/>
      <c r="AE550" s="1044"/>
      <c r="AF550" s="1044"/>
      <c r="AG550" s="1044"/>
      <c r="AH550" s="1044"/>
      <c r="AI550" s="1044"/>
      <c r="AJ550" s="1044"/>
      <c r="AK550" s="1044"/>
      <c r="AL550" s="1044"/>
      <c r="AM550" s="1044"/>
      <c r="AN550" s="1044"/>
      <c r="AO550" s="1044"/>
      <c r="AP550" s="1044"/>
      <c r="AQ550" s="1044"/>
      <c r="AR550" s="1044"/>
      <c r="AS550" s="1044"/>
      <c r="AT550" s="1044"/>
      <c r="AU550" s="1044"/>
      <c r="AV550" s="1044"/>
      <c r="AW550" s="1044"/>
      <c r="AX550" s="1044"/>
      <c r="AY550" s="1044"/>
      <c r="AZ550" s="1044"/>
      <c r="BA550" s="1044"/>
      <c r="BB550" s="1044"/>
      <c r="BC550" s="1044"/>
      <c r="BD550" s="1044"/>
      <c r="BE550" s="1044"/>
      <c r="BF550" s="1044"/>
      <c r="BG550" s="1044"/>
      <c r="BH550" s="1044"/>
      <c r="BI550" s="1044"/>
      <c r="BJ550" s="1044"/>
      <c r="BK550" s="1044"/>
      <c r="BL550" s="1044"/>
      <c r="BM550" s="1044"/>
      <c r="BN550" s="1044"/>
      <c r="BO550" s="1044"/>
      <c r="BP550" s="1044"/>
      <c r="BQ550" s="1044"/>
      <c r="BR550" s="1044"/>
      <c r="BS550" s="1044"/>
      <c r="BT550" s="1044"/>
      <c r="BU550" s="1044"/>
      <c r="BV550" s="1044"/>
      <c r="BW550" s="1044"/>
      <c r="BX550" s="1044"/>
      <c r="BY550" s="1044"/>
      <c r="BZ550" s="1044"/>
      <c r="CA550" s="1044"/>
      <c r="CB550" s="1044"/>
      <c r="CC550" s="1044"/>
      <c r="CD550" s="1044"/>
      <c r="CE550" s="1044"/>
      <c r="CF550" s="1044"/>
      <c r="CG550" s="1044"/>
      <c r="CH550" s="1044"/>
      <c r="CI550" s="1044"/>
      <c r="CJ550" s="1044"/>
      <c r="CK550" s="1044"/>
      <c r="CL550" s="1044"/>
      <c r="CM550" s="1044"/>
      <c r="CN550" s="1044"/>
      <c r="CO550" s="1044"/>
      <c r="CP550" s="1044"/>
      <c r="CQ550" s="1044"/>
      <c r="CR550" s="1044"/>
      <c r="CS550" s="1044"/>
      <c r="CT550" s="1044"/>
      <c r="CU550" s="1044"/>
      <c r="CV550" s="1044"/>
      <c r="CW550" s="1044"/>
      <c r="CX550" s="1044"/>
      <c r="CY550" s="1044"/>
      <c r="CZ550" s="1044"/>
      <c r="DA550" s="1044"/>
      <c r="DB550" s="1044"/>
      <c r="DC550" s="1044"/>
      <c r="DD550" s="1044"/>
      <c r="DE550" s="1044"/>
      <c r="DF550" s="1044"/>
      <c r="DG550" s="1044"/>
      <c r="DH550" s="1044"/>
      <c r="DI550" s="1044"/>
      <c r="DJ550" s="1044"/>
      <c r="DK550" s="1044"/>
      <c r="DL550" s="1044"/>
      <c r="DM550" s="1044"/>
      <c r="DN550" s="1044"/>
      <c r="DO550" s="1044"/>
      <c r="DP550" s="1044"/>
      <c r="DQ550" s="1044"/>
      <c r="DR550" s="1044"/>
      <c r="DS550" s="1044"/>
      <c r="DT550" s="1044"/>
      <c r="DU550" s="1044"/>
      <c r="DV550" s="1044"/>
      <c r="DW550" s="1044"/>
      <c r="DX550" s="1044"/>
      <c r="DY550" s="1044"/>
      <c r="DZ550" s="1044"/>
      <c r="EA550" s="1044"/>
      <c r="EB550" s="1044"/>
      <c r="EC550" s="1044"/>
      <c r="ED550" s="1044"/>
      <c r="EE550" s="1044"/>
      <c r="EF550" s="1044"/>
      <c r="EG550" s="1044"/>
      <c r="EH550" s="1044"/>
      <c r="EI550" s="1044"/>
      <c r="EJ550" s="1044"/>
      <c r="EK550" s="1044"/>
      <c r="EL550" s="1044"/>
      <c r="EM550" s="1044"/>
      <c r="EN550" s="1044"/>
      <c r="EO550" s="1044"/>
      <c r="EP550" s="1044"/>
      <c r="EQ550" s="1044"/>
      <c r="ER550" s="1044"/>
      <c r="ES550" s="1044"/>
      <c r="ET550" s="1044"/>
      <c r="EU550" s="1044"/>
      <c r="EV550" s="1044"/>
      <c r="EW550" s="1044"/>
      <c r="EX550" s="1044"/>
      <c r="EY550" s="1044"/>
      <c r="EZ550" s="1044"/>
      <c r="FA550" s="1044"/>
      <c r="FB550" s="1044"/>
      <c r="FC550" s="1044"/>
      <c r="FD550" s="1044"/>
      <c r="FE550" s="1044"/>
      <c r="FF550" s="1044"/>
      <c r="FG550" s="1044"/>
      <c r="FH550" s="1044"/>
      <c r="FI550" s="1044"/>
      <c r="FJ550" s="1044"/>
      <c r="FK550" s="1044"/>
      <c r="FL550" s="1044"/>
      <c r="FM550" s="1044"/>
      <c r="FN550" s="1044"/>
      <c r="FO550" s="1044"/>
      <c r="FP550" s="1044"/>
      <c r="FQ550" s="1044"/>
      <c r="FR550" s="1044"/>
      <c r="FS550" s="1044"/>
      <c r="FT550" s="1044"/>
      <c r="FU550" s="1044"/>
      <c r="FV550" s="1044"/>
      <c r="FW550" s="1044"/>
      <c r="FX550" s="1044"/>
      <c r="FY550" s="1044"/>
      <c r="FZ550" s="1044"/>
      <c r="GA550" s="1044"/>
      <c r="GB550" s="1044"/>
      <c r="GC550" s="1044"/>
      <c r="GD550" s="1044"/>
      <c r="GE550" s="1044"/>
      <c r="GF550" s="1044"/>
      <c r="GG550" s="1044"/>
      <c r="GH550" s="1044"/>
      <c r="GI550" s="1044"/>
      <c r="GJ550" s="1044"/>
      <c r="GK550" s="1044"/>
      <c r="GL550" s="1044"/>
      <c r="GM550" s="1044"/>
      <c r="GN550" s="1044"/>
      <c r="GO550" s="1044"/>
      <c r="GP550" s="1044"/>
      <c r="GQ550" s="1044"/>
      <c r="GR550" s="1044"/>
      <c r="GS550" s="1044"/>
    </row>
    <row r="551" spans="1:201" s="1138" customFormat="1" ht="12.75">
      <c r="A551" s="1137"/>
      <c r="B551" s="1085"/>
      <c r="D551" s="1139"/>
      <c r="F551" s="1085"/>
      <c r="G551" s="1044"/>
      <c r="H551" s="1044"/>
      <c r="I551" s="1044"/>
      <c r="J551" s="1044"/>
      <c r="K551" s="1044"/>
      <c r="L551" s="1044"/>
      <c r="M551" s="1044"/>
      <c r="N551" s="1044"/>
      <c r="O551" s="1044"/>
      <c r="P551" s="1044"/>
      <c r="Q551" s="1044"/>
      <c r="R551" s="1044"/>
      <c r="S551" s="1044"/>
      <c r="T551" s="1044"/>
      <c r="U551" s="1044"/>
      <c r="V551" s="1044"/>
      <c r="W551" s="1044"/>
      <c r="X551" s="1044"/>
      <c r="Y551" s="1044"/>
      <c r="Z551" s="1044"/>
      <c r="AA551" s="1044"/>
      <c r="AB551" s="1044"/>
      <c r="AC551" s="1044"/>
      <c r="AD551" s="1044"/>
      <c r="AE551" s="1044"/>
      <c r="AF551" s="1044"/>
      <c r="AG551" s="1044"/>
      <c r="AH551" s="1044"/>
      <c r="AI551" s="1044"/>
      <c r="AJ551" s="1044"/>
      <c r="AK551" s="1044"/>
      <c r="AL551" s="1044"/>
      <c r="AM551" s="1044"/>
      <c r="AN551" s="1044"/>
      <c r="AO551" s="1044"/>
      <c r="AP551" s="1044"/>
      <c r="AQ551" s="1044"/>
      <c r="AR551" s="1044"/>
      <c r="AS551" s="1044"/>
      <c r="AT551" s="1044"/>
      <c r="AU551" s="1044"/>
      <c r="AV551" s="1044"/>
      <c r="AW551" s="1044"/>
      <c r="AX551" s="1044"/>
      <c r="AY551" s="1044"/>
      <c r="AZ551" s="1044"/>
      <c r="BA551" s="1044"/>
      <c r="BB551" s="1044"/>
      <c r="BC551" s="1044"/>
      <c r="BD551" s="1044"/>
      <c r="BE551" s="1044"/>
      <c r="BF551" s="1044"/>
      <c r="BG551" s="1044"/>
      <c r="BH551" s="1044"/>
      <c r="BI551" s="1044"/>
      <c r="BJ551" s="1044"/>
      <c r="BK551" s="1044"/>
      <c r="BL551" s="1044"/>
      <c r="BM551" s="1044"/>
      <c r="BN551" s="1044"/>
      <c r="BO551" s="1044"/>
      <c r="BP551" s="1044"/>
      <c r="BQ551" s="1044"/>
      <c r="BR551" s="1044"/>
      <c r="BS551" s="1044"/>
      <c r="BT551" s="1044"/>
      <c r="BU551" s="1044"/>
      <c r="BV551" s="1044"/>
      <c r="BW551" s="1044"/>
      <c r="BX551" s="1044"/>
      <c r="BY551" s="1044"/>
      <c r="BZ551" s="1044"/>
      <c r="CA551" s="1044"/>
      <c r="CB551" s="1044"/>
      <c r="CC551" s="1044"/>
      <c r="CD551" s="1044"/>
      <c r="CE551" s="1044"/>
      <c r="CF551" s="1044"/>
      <c r="CG551" s="1044"/>
      <c r="CH551" s="1044"/>
      <c r="CI551" s="1044"/>
      <c r="CJ551" s="1044"/>
      <c r="CK551" s="1044"/>
      <c r="CL551" s="1044"/>
      <c r="CM551" s="1044"/>
      <c r="CN551" s="1044"/>
      <c r="CO551" s="1044"/>
      <c r="CP551" s="1044"/>
      <c r="CQ551" s="1044"/>
      <c r="CR551" s="1044"/>
      <c r="CS551" s="1044"/>
      <c r="CT551" s="1044"/>
      <c r="CU551" s="1044"/>
      <c r="CV551" s="1044"/>
      <c r="CW551" s="1044"/>
      <c r="CX551" s="1044"/>
      <c r="CY551" s="1044"/>
      <c r="CZ551" s="1044"/>
      <c r="DA551" s="1044"/>
      <c r="DB551" s="1044"/>
      <c r="DC551" s="1044"/>
      <c r="DD551" s="1044"/>
      <c r="DE551" s="1044"/>
      <c r="DF551" s="1044"/>
      <c r="DG551" s="1044"/>
      <c r="DH551" s="1044"/>
      <c r="DI551" s="1044"/>
      <c r="DJ551" s="1044"/>
      <c r="DK551" s="1044"/>
      <c r="DL551" s="1044"/>
      <c r="DM551" s="1044"/>
      <c r="DN551" s="1044"/>
      <c r="DO551" s="1044"/>
      <c r="DP551" s="1044"/>
      <c r="DQ551" s="1044"/>
      <c r="DR551" s="1044"/>
      <c r="DS551" s="1044"/>
      <c r="DT551" s="1044"/>
      <c r="DU551" s="1044"/>
      <c r="DV551" s="1044"/>
      <c r="DW551" s="1044"/>
      <c r="DX551" s="1044"/>
      <c r="DY551" s="1044"/>
      <c r="DZ551" s="1044"/>
      <c r="EA551" s="1044"/>
      <c r="EB551" s="1044"/>
      <c r="EC551" s="1044"/>
      <c r="ED551" s="1044"/>
      <c r="EE551" s="1044"/>
      <c r="EF551" s="1044"/>
      <c r="EG551" s="1044"/>
      <c r="EH551" s="1044"/>
      <c r="EI551" s="1044"/>
      <c r="EJ551" s="1044"/>
      <c r="EK551" s="1044"/>
      <c r="EL551" s="1044"/>
      <c r="EM551" s="1044"/>
      <c r="EN551" s="1044"/>
      <c r="EO551" s="1044"/>
      <c r="EP551" s="1044"/>
      <c r="EQ551" s="1044"/>
      <c r="ER551" s="1044"/>
      <c r="ES551" s="1044"/>
      <c r="ET551" s="1044"/>
      <c r="EU551" s="1044"/>
      <c r="EV551" s="1044"/>
      <c r="EW551" s="1044"/>
      <c r="EX551" s="1044"/>
      <c r="EY551" s="1044"/>
      <c r="EZ551" s="1044"/>
      <c r="FA551" s="1044"/>
      <c r="FB551" s="1044"/>
      <c r="FC551" s="1044"/>
      <c r="FD551" s="1044"/>
      <c r="FE551" s="1044"/>
      <c r="FF551" s="1044"/>
      <c r="FG551" s="1044"/>
      <c r="FH551" s="1044"/>
      <c r="FI551" s="1044"/>
      <c r="FJ551" s="1044"/>
      <c r="FK551" s="1044"/>
      <c r="FL551" s="1044"/>
      <c r="FM551" s="1044"/>
      <c r="FN551" s="1044"/>
      <c r="FO551" s="1044"/>
      <c r="FP551" s="1044"/>
      <c r="FQ551" s="1044"/>
      <c r="FR551" s="1044"/>
      <c r="FS551" s="1044"/>
      <c r="FT551" s="1044"/>
      <c r="FU551" s="1044"/>
      <c r="FV551" s="1044"/>
      <c r="FW551" s="1044"/>
      <c r="FX551" s="1044"/>
      <c r="FY551" s="1044"/>
      <c r="FZ551" s="1044"/>
      <c r="GA551" s="1044"/>
      <c r="GB551" s="1044"/>
      <c r="GC551" s="1044"/>
      <c r="GD551" s="1044"/>
      <c r="GE551" s="1044"/>
      <c r="GF551" s="1044"/>
      <c r="GG551" s="1044"/>
      <c r="GH551" s="1044"/>
      <c r="GI551" s="1044"/>
      <c r="GJ551" s="1044"/>
      <c r="GK551" s="1044"/>
      <c r="GL551" s="1044"/>
      <c r="GM551" s="1044"/>
      <c r="GN551" s="1044"/>
      <c r="GO551" s="1044"/>
      <c r="GP551" s="1044"/>
      <c r="GQ551" s="1044"/>
      <c r="GR551" s="1044"/>
      <c r="GS551" s="1044"/>
    </row>
    <row r="552" spans="1:201" s="1138" customFormat="1" ht="12.75">
      <c r="A552" s="1137"/>
      <c r="B552" s="1085"/>
      <c r="D552" s="1139"/>
      <c r="F552" s="1085"/>
      <c r="G552" s="1044"/>
      <c r="H552" s="1044"/>
      <c r="I552" s="1044"/>
      <c r="J552" s="1044"/>
      <c r="K552" s="1044"/>
      <c r="L552" s="1044"/>
      <c r="M552" s="1044"/>
      <c r="N552" s="1044"/>
      <c r="O552" s="1044"/>
      <c r="P552" s="1044"/>
      <c r="Q552" s="1044"/>
      <c r="R552" s="1044"/>
      <c r="S552" s="1044"/>
      <c r="T552" s="1044"/>
      <c r="U552" s="1044"/>
      <c r="V552" s="1044"/>
      <c r="W552" s="1044"/>
      <c r="X552" s="1044"/>
      <c r="Y552" s="1044"/>
      <c r="Z552" s="1044"/>
      <c r="AA552" s="1044"/>
      <c r="AB552" s="1044"/>
      <c r="AC552" s="1044"/>
      <c r="AD552" s="1044"/>
      <c r="AE552" s="1044"/>
      <c r="AF552" s="1044"/>
      <c r="AG552" s="1044"/>
      <c r="AH552" s="1044"/>
      <c r="AI552" s="1044"/>
      <c r="AJ552" s="1044"/>
      <c r="AK552" s="1044"/>
      <c r="AL552" s="1044"/>
      <c r="AM552" s="1044"/>
      <c r="AN552" s="1044"/>
      <c r="AO552" s="1044"/>
      <c r="AP552" s="1044"/>
      <c r="AQ552" s="1044"/>
      <c r="AR552" s="1044"/>
      <c r="AS552" s="1044"/>
      <c r="AT552" s="1044"/>
      <c r="AU552" s="1044"/>
      <c r="AV552" s="1044"/>
      <c r="AW552" s="1044"/>
      <c r="AX552" s="1044"/>
      <c r="AY552" s="1044"/>
      <c r="AZ552" s="1044"/>
      <c r="BA552" s="1044"/>
      <c r="BB552" s="1044"/>
      <c r="BC552" s="1044"/>
      <c r="BD552" s="1044"/>
      <c r="BE552" s="1044"/>
      <c r="BF552" s="1044"/>
      <c r="BG552" s="1044"/>
      <c r="BH552" s="1044"/>
      <c r="BI552" s="1044"/>
      <c r="BJ552" s="1044"/>
      <c r="BK552" s="1044"/>
      <c r="BL552" s="1044"/>
      <c r="BM552" s="1044"/>
      <c r="BN552" s="1044"/>
      <c r="BO552" s="1044"/>
      <c r="BP552" s="1044"/>
      <c r="BQ552" s="1044"/>
      <c r="BR552" s="1044"/>
      <c r="BS552" s="1044"/>
      <c r="BT552" s="1044"/>
      <c r="BU552" s="1044"/>
      <c r="BV552" s="1044"/>
      <c r="BW552" s="1044"/>
      <c r="BX552" s="1044"/>
      <c r="BY552" s="1044"/>
      <c r="BZ552" s="1044"/>
      <c r="CA552" s="1044"/>
      <c r="CB552" s="1044"/>
      <c r="CC552" s="1044"/>
      <c r="CD552" s="1044"/>
      <c r="CE552" s="1044"/>
      <c r="CF552" s="1044"/>
      <c r="CG552" s="1044"/>
      <c r="CH552" s="1044"/>
      <c r="CI552" s="1044"/>
      <c r="CJ552" s="1044"/>
      <c r="CK552" s="1044"/>
      <c r="CL552" s="1044"/>
      <c r="CM552" s="1044"/>
      <c r="CN552" s="1044"/>
      <c r="CO552" s="1044"/>
      <c r="CP552" s="1044"/>
      <c r="CQ552" s="1044"/>
      <c r="CR552" s="1044"/>
      <c r="CS552" s="1044"/>
      <c r="CT552" s="1044"/>
      <c r="CU552" s="1044"/>
      <c r="CV552" s="1044"/>
      <c r="CW552" s="1044"/>
      <c r="CX552" s="1044"/>
      <c r="CY552" s="1044"/>
      <c r="CZ552" s="1044"/>
      <c r="DA552" s="1044"/>
      <c r="DB552" s="1044"/>
      <c r="DC552" s="1044"/>
      <c r="DD552" s="1044"/>
      <c r="DE552" s="1044"/>
      <c r="DF552" s="1044"/>
      <c r="DG552" s="1044"/>
      <c r="DH552" s="1044"/>
      <c r="DI552" s="1044"/>
      <c r="DJ552" s="1044"/>
      <c r="DK552" s="1044"/>
      <c r="DL552" s="1044"/>
      <c r="DM552" s="1044"/>
      <c r="DN552" s="1044"/>
      <c r="DO552" s="1044"/>
      <c r="DP552" s="1044"/>
      <c r="DQ552" s="1044"/>
      <c r="DR552" s="1044"/>
      <c r="DS552" s="1044"/>
      <c r="DT552" s="1044"/>
      <c r="DU552" s="1044"/>
      <c r="DV552" s="1044"/>
      <c r="DW552" s="1044"/>
      <c r="DX552" s="1044"/>
      <c r="DY552" s="1044"/>
      <c r="DZ552" s="1044"/>
      <c r="EA552" s="1044"/>
      <c r="EB552" s="1044"/>
      <c r="EC552" s="1044"/>
      <c r="ED552" s="1044"/>
      <c r="EE552" s="1044"/>
      <c r="EF552" s="1044"/>
      <c r="EG552" s="1044"/>
      <c r="EH552" s="1044"/>
      <c r="EI552" s="1044"/>
      <c r="EJ552" s="1044"/>
      <c r="EK552" s="1044"/>
      <c r="EL552" s="1044"/>
      <c r="EM552" s="1044"/>
      <c r="EN552" s="1044"/>
      <c r="EO552" s="1044"/>
      <c r="EP552" s="1044"/>
      <c r="EQ552" s="1044"/>
      <c r="ER552" s="1044"/>
      <c r="ES552" s="1044"/>
      <c r="ET552" s="1044"/>
      <c r="EU552" s="1044"/>
      <c r="EV552" s="1044"/>
      <c r="EW552" s="1044"/>
      <c r="EX552" s="1044"/>
      <c r="EY552" s="1044"/>
      <c r="EZ552" s="1044"/>
      <c r="FA552" s="1044"/>
      <c r="FB552" s="1044"/>
      <c r="FC552" s="1044"/>
      <c r="FD552" s="1044"/>
      <c r="FE552" s="1044"/>
      <c r="FF552" s="1044"/>
      <c r="FG552" s="1044"/>
      <c r="FH552" s="1044"/>
      <c r="FI552" s="1044"/>
      <c r="FJ552" s="1044"/>
      <c r="FK552" s="1044"/>
      <c r="FL552" s="1044"/>
      <c r="FM552" s="1044"/>
      <c r="FN552" s="1044"/>
      <c r="FO552" s="1044"/>
      <c r="FP552" s="1044"/>
      <c r="FQ552" s="1044"/>
      <c r="FR552" s="1044"/>
      <c r="FS552" s="1044"/>
      <c r="FT552" s="1044"/>
      <c r="FU552" s="1044"/>
      <c r="FV552" s="1044"/>
      <c r="FW552" s="1044"/>
      <c r="FX552" s="1044"/>
      <c r="FY552" s="1044"/>
      <c r="FZ552" s="1044"/>
      <c r="GA552" s="1044"/>
      <c r="GB552" s="1044"/>
      <c r="GC552" s="1044"/>
      <c r="GD552" s="1044"/>
      <c r="GE552" s="1044"/>
      <c r="GF552" s="1044"/>
      <c r="GG552" s="1044"/>
      <c r="GH552" s="1044"/>
      <c r="GI552" s="1044"/>
      <c r="GJ552" s="1044"/>
      <c r="GK552" s="1044"/>
      <c r="GL552" s="1044"/>
      <c r="GM552" s="1044"/>
      <c r="GN552" s="1044"/>
      <c r="GO552" s="1044"/>
      <c r="GP552" s="1044"/>
      <c r="GQ552" s="1044"/>
      <c r="GR552" s="1044"/>
      <c r="GS552" s="1044"/>
    </row>
    <row r="553" spans="1:201" s="1138" customFormat="1" ht="12.75">
      <c r="A553" s="1137"/>
      <c r="B553" s="1085"/>
      <c r="D553" s="1139"/>
      <c r="F553" s="1085"/>
      <c r="G553" s="1044"/>
      <c r="H553" s="1044"/>
      <c r="I553" s="1044"/>
      <c r="J553" s="1044"/>
      <c r="K553" s="1044"/>
      <c r="L553" s="1044"/>
      <c r="M553" s="1044"/>
      <c r="N553" s="1044"/>
      <c r="O553" s="1044"/>
      <c r="P553" s="1044"/>
      <c r="Q553" s="1044"/>
      <c r="R553" s="1044"/>
      <c r="S553" s="1044"/>
      <c r="T553" s="1044"/>
      <c r="U553" s="1044"/>
      <c r="V553" s="1044"/>
      <c r="W553" s="1044"/>
      <c r="X553" s="1044"/>
      <c r="Y553" s="1044"/>
      <c r="Z553" s="1044"/>
      <c r="AA553" s="1044"/>
      <c r="AB553" s="1044"/>
      <c r="AC553" s="1044"/>
      <c r="AD553" s="1044"/>
      <c r="AE553" s="1044"/>
      <c r="AF553" s="1044"/>
      <c r="AG553" s="1044"/>
      <c r="AH553" s="1044"/>
      <c r="AI553" s="1044"/>
      <c r="AJ553" s="1044"/>
      <c r="AK553" s="1044"/>
      <c r="AL553" s="1044"/>
      <c r="AM553" s="1044"/>
      <c r="AN553" s="1044"/>
      <c r="AO553" s="1044"/>
      <c r="AP553" s="1044"/>
      <c r="AQ553" s="1044"/>
      <c r="AR553" s="1044"/>
      <c r="AS553" s="1044"/>
      <c r="AT553" s="1044"/>
      <c r="AU553" s="1044"/>
      <c r="AV553" s="1044"/>
      <c r="AW553" s="1044"/>
      <c r="AX553" s="1044"/>
      <c r="AY553" s="1044"/>
      <c r="AZ553" s="1044"/>
      <c r="BA553" s="1044"/>
      <c r="BB553" s="1044"/>
      <c r="BC553" s="1044"/>
      <c r="BD553" s="1044"/>
      <c r="BE553" s="1044"/>
      <c r="BF553" s="1044"/>
      <c r="BG553" s="1044"/>
      <c r="BH553" s="1044"/>
      <c r="BI553" s="1044"/>
      <c r="BJ553" s="1044"/>
      <c r="BK553" s="1044"/>
      <c r="BL553" s="1044"/>
      <c r="BM553" s="1044"/>
      <c r="BN553" s="1044"/>
      <c r="BO553" s="1044"/>
      <c r="BP553" s="1044"/>
      <c r="BQ553" s="1044"/>
      <c r="BR553" s="1044"/>
      <c r="BS553" s="1044"/>
      <c r="BT553" s="1044"/>
      <c r="BU553" s="1044"/>
      <c r="BV553" s="1044"/>
      <c r="BW553" s="1044"/>
      <c r="BX553" s="1044"/>
      <c r="BY553" s="1044"/>
      <c r="BZ553" s="1044"/>
      <c r="CA553" s="1044"/>
      <c r="CB553" s="1044"/>
      <c r="CC553" s="1044"/>
      <c r="CD553" s="1044"/>
      <c r="CE553" s="1044"/>
      <c r="CF553" s="1044"/>
      <c r="CG553" s="1044"/>
      <c r="CH553" s="1044"/>
      <c r="CI553" s="1044"/>
      <c r="CJ553" s="1044"/>
      <c r="CK553" s="1044"/>
      <c r="CL553" s="1044"/>
      <c r="CM553" s="1044"/>
      <c r="CN553" s="1044"/>
      <c r="CO553" s="1044"/>
      <c r="CP553" s="1044"/>
      <c r="CQ553" s="1044"/>
      <c r="CR553" s="1044"/>
      <c r="CS553" s="1044"/>
      <c r="CT553" s="1044"/>
      <c r="CU553" s="1044"/>
      <c r="CV553" s="1044"/>
      <c r="CW553" s="1044"/>
      <c r="CX553" s="1044"/>
      <c r="CY553" s="1044"/>
      <c r="CZ553" s="1044"/>
      <c r="DA553" s="1044"/>
      <c r="DB553" s="1044"/>
      <c r="DC553" s="1044"/>
      <c r="DD553" s="1044"/>
      <c r="DE553" s="1044"/>
      <c r="DF553" s="1044"/>
      <c r="DG553" s="1044"/>
      <c r="DH553" s="1044"/>
      <c r="DI553" s="1044"/>
      <c r="DJ553" s="1044"/>
      <c r="DK553" s="1044"/>
      <c r="DL553" s="1044"/>
      <c r="DM553" s="1044"/>
      <c r="DN553" s="1044"/>
      <c r="DO553" s="1044"/>
      <c r="DP553" s="1044"/>
      <c r="DQ553" s="1044"/>
      <c r="DR553" s="1044"/>
      <c r="DS553" s="1044"/>
      <c r="DT553" s="1044"/>
      <c r="DU553" s="1044"/>
      <c r="DV553" s="1044"/>
      <c r="DW553" s="1044"/>
      <c r="DX553" s="1044"/>
      <c r="DY553" s="1044"/>
      <c r="DZ553" s="1044"/>
      <c r="EA553" s="1044"/>
      <c r="EB553" s="1044"/>
      <c r="EC553" s="1044"/>
      <c r="ED553" s="1044"/>
      <c r="EE553" s="1044"/>
      <c r="EF553" s="1044"/>
      <c r="EG553" s="1044"/>
      <c r="EH553" s="1044"/>
      <c r="EI553" s="1044"/>
      <c r="EJ553" s="1044"/>
      <c r="EK553" s="1044"/>
      <c r="EL553" s="1044"/>
      <c r="EM553" s="1044"/>
      <c r="EN553" s="1044"/>
      <c r="EO553" s="1044"/>
      <c r="EP553" s="1044"/>
      <c r="EQ553" s="1044"/>
      <c r="ER553" s="1044"/>
      <c r="ES553" s="1044"/>
      <c r="ET553" s="1044"/>
      <c r="EU553" s="1044"/>
      <c r="EV553" s="1044"/>
      <c r="EW553" s="1044"/>
      <c r="EX553" s="1044"/>
      <c r="EY553" s="1044"/>
      <c r="EZ553" s="1044"/>
      <c r="FA553" s="1044"/>
      <c r="FB553" s="1044"/>
      <c r="FC553" s="1044"/>
      <c r="FD553" s="1044"/>
      <c r="FE553" s="1044"/>
      <c r="FF553" s="1044"/>
      <c r="FG553" s="1044"/>
      <c r="FH553" s="1044"/>
      <c r="FI553" s="1044"/>
      <c r="FJ553" s="1044"/>
      <c r="FK553" s="1044"/>
      <c r="FL553" s="1044"/>
      <c r="FM553" s="1044"/>
      <c r="FN553" s="1044"/>
      <c r="FO553" s="1044"/>
      <c r="FP553" s="1044"/>
      <c r="FQ553" s="1044"/>
      <c r="FR553" s="1044"/>
      <c r="FS553" s="1044"/>
      <c r="FT553" s="1044"/>
      <c r="FU553" s="1044"/>
      <c r="FV553" s="1044"/>
      <c r="FW553" s="1044"/>
      <c r="FX553" s="1044"/>
      <c r="FY553" s="1044"/>
      <c r="FZ553" s="1044"/>
      <c r="GA553" s="1044"/>
      <c r="GB553" s="1044"/>
      <c r="GC553" s="1044"/>
      <c r="GD553" s="1044"/>
      <c r="GE553" s="1044"/>
      <c r="GF553" s="1044"/>
      <c r="GG553" s="1044"/>
      <c r="GH553" s="1044"/>
      <c r="GI553" s="1044"/>
      <c r="GJ553" s="1044"/>
      <c r="GK553" s="1044"/>
      <c r="GL553" s="1044"/>
      <c r="GM553" s="1044"/>
      <c r="GN553" s="1044"/>
      <c r="GO553" s="1044"/>
      <c r="GP553" s="1044"/>
      <c r="GQ553" s="1044"/>
      <c r="GR553" s="1044"/>
      <c r="GS553" s="1044"/>
    </row>
    <row r="554" spans="1:201" s="1138" customFormat="1" ht="12.75">
      <c r="A554" s="1137"/>
      <c r="B554" s="1085"/>
      <c r="D554" s="1139"/>
      <c r="F554" s="1085"/>
      <c r="G554" s="1044"/>
      <c r="H554" s="1044"/>
      <c r="I554" s="1044"/>
      <c r="J554" s="1044"/>
      <c r="K554" s="1044"/>
      <c r="L554" s="1044"/>
      <c r="M554" s="1044"/>
      <c r="N554" s="1044"/>
      <c r="O554" s="1044"/>
      <c r="P554" s="1044"/>
      <c r="Q554" s="1044"/>
      <c r="R554" s="1044"/>
      <c r="S554" s="1044"/>
      <c r="T554" s="1044"/>
      <c r="U554" s="1044"/>
      <c r="V554" s="1044"/>
      <c r="W554" s="1044"/>
      <c r="X554" s="1044"/>
      <c r="Y554" s="1044"/>
      <c r="Z554" s="1044"/>
      <c r="AA554" s="1044"/>
      <c r="AB554" s="1044"/>
      <c r="AC554" s="1044"/>
      <c r="AD554" s="1044"/>
      <c r="AE554" s="1044"/>
      <c r="AF554" s="1044"/>
      <c r="AG554" s="1044"/>
      <c r="AH554" s="1044"/>
      <c r="AI554" s="1044"/>
      <c r="AJ554" s="1044"/>
      <c r="AK554" s="1044"/>
      <c r="AL554" s="1044"/>
      <c r="AM554" s="1044"/>
      <c r="AN554" s="1044"/>
      <c r="AO554" s="1044"/>
      <c r="AP554" s="1044"/>
      <c r="AQ554" s="1044"/>
      <c r="AR554" s="1044"/>
      <c r="AS554" s="1044"/>
      <c r="AT554" s="1044"/>
      <c r="AU554" s="1044"/>
      <c r="AV554" s="1044"/>
      <c r="AW554" s="1044"/>
      <c r="AX554" s="1044"/>
      <c r="AY554" s="1044"/>
      <c r="AZ554" s="1044"/>
      <c r="BA554" s="1044"/>
      <c r="BB554" s="1044"/>
      <c r="BC554" s="1044"/>
      <c r="BD554" s="1044"/>
      <c r="BE554" s="1044"/>
      <c r="BF554" s="1044"/>
      <c r="BG554" s="1044"/>
      <c r="BH554" s="1044"/>
      <c r="BI554" s="1044"/>
      <c r="BJ554" s="1044"/>
      <c r="BK554" s="1044"/>
      <c r="BL554" s="1044"/>
      <c r="BM554" s="1044"/>
      <c r="BN554" s="1044"/>
      <c r="BO554" s="1044"/>
      <c r="BP554" s="1044"/>
      <c r="BQ554" s="1044"/>
      <c r="BR554" s="1044"/>
      <c r="BS554" s="1044"/>
      <c r="BT554" s="1044"/>
      <c r="BU554" s="1044"/>
      <c r="BV554" s="1044"/>
      <c r="BW554" s="1044"/>
      <c r="BX554" s="1044"/>
      <c r="BY554" s="1044"/>
      <c r="BZ554" s="1044"/>
      <c r="CA554" s="1044"/>
      <c r="CB554" s="1044"/>
      <c r="CC554" s="1044"/>
      <c r="CD554" s="1044"/>
      <c r="CE554" s="1044"/>
      <c r="CF554" s="1044"/>
      <c r="CG554" s="1044"/>
      <c r="CH554" s="1044"/>
      <c r="CI554" s="1044"/>
      <c r="CJ554" s="1044"/>
      <c r="CK554" s="1044"/>
      <c r="CL554" s="1044"/>
      <c r="CM554" s="1044"/>
      <c r="CN554" s="1044"/>
      <c r="CO554" s="1044"/>
      <c r="CP554" s="1044"/>
      <c r="CQ554" s="1044"/>
      <c r="CR554" s="1044"/>
      <c r="CS554" s="1044"/>
      <c r="CT554" s="1044"/>
      <c r="CU554" s="1044"/>
      <c r="CV554" s="1044"/>
      <c r="CW554" s="1044"/>
      <c r="CX554" s="1044"/>
      <c r="CY554" s="1044"/>
      <c r="CZ554" s="1044"/>
      <c r="DA554" s="1044"/>
      <c r="DB554" s="1044"/>
      <c r="DC554" s="1044"/>
      <c r="DD554" s="1044"/>
      <c r="DE554" s="1044"/>
      <c r="DF554" s="1044"/>
      <c r="DG554" s="1044"/>
      <c r="DH554" s="1044"/>
      <c r="DI554" s="1044"/>
      <c r="DJ554" s="1044"/>
      <c r="DK554" s="1044"/>
      <c r="DL554" s="1044"/>
      <c r="DM554" s="1044"/>
      <c r="DN554" s="1044"/>
      <c r="DO554" s="1044"/>
      <c r="DP554" s="1044"/>
      <c r="DQ554" s="1044"/>
      <c r="DR554" s="1044"/>
      <c r="DS554" s="1044"/>
      <c r="DT554" s="1044"/>
      <c r="DU554" s="1044"/>
      <c r="DV554" s="1044"/>
      <c r="DW554" s="1044"/>
      <c r="DX554" s="1044"/>
      <c r="DY554" s="1044"/>
      <c r="DZ554" s="1044"/>
      <c r="EA554" s="1044"/>
      <c r="EB554" s="1044"/>
      <c r="EC554" s="1044"/>
      <c r="ED554" s="1044"/>
      <c r="EE554" s="1044"/>
      <c r="EF554" s="1044"/>
      <c r="EG554" s="1044"/>
      <c r="EH554" s="1044"/>
      <c r="EI554" s="1044"/>
      <c r="EJ554" s="1044"/>
      <c r="EK554" s="1044"/>
      <c r="EL554" s="1044"/>
      <c r="EM554" s="1044"/>
      <c r="EN554" s="1044"/>
      <c r="EO554" s="1044"/>
      <c r="EP554" s="1044"/>
      <c r="EQ554" s="1044"/>
      <c r="ER554" s="1044"/>
      <c r="ES554" s="1044"/>
      <c r="ET554" s="1044"/>
      <c r="EU554" s="1044"/>
      <c r="EV554" s="1044"/>
      <c r="EW554" s="1044"/>
      <c r="EX554" s="1044"/>
      <c r="EY554" s="1044"/>
      <c r="EZ554" s="1044"/>
      <c r="FA554" s="1044"/>
      <c r="FB554" s="1044"/>
      <c r="FC554" s="1044"/>
      <c r="FD554" s="1044"/>
      <c r="FE554" s="1044"/>
      <c r="FF554" s="1044"/>
      <c r="FG554" s="1044"/>
      <c r="FH554" s="1044"/>
      <c r="FI554" s="1044"/>
      <c r="FJ554" s="1044"/>
      <c r="FK554" s="1044"/>
      <c r="FL554" s="1044"/>
      <c r="FM554" s="1044"/>
      <c r="FN554" s="1044"/>
      <c r="FO554" s="1044"/>
      <c r="FP554" s="1044"/>
      <c r="FQ554" s="1044"/>
      <c r="FR554" s="1044"/>
      <c r="FS554" s="1044"/>
      <c r="FT554" s="1044"/>
      <c r="FU554" s="1044"/>
      <c r="FV554" s="1044"/>
      <c r="FW554" s="1044"/>
      <c r="FX554" s="1044"/>
      <c r="FY554" s="1044"/>
      <c r="FZ554" s="1044"/>
      <c r="GA554" s="1044"/>
      <c r="GB554" s="1044"/>
      <c r="GC554" s="1044"/>
      <c r="GD554" s="1044"/>
      <c r="GE554" s="1044"/>
      <c r="GF554" s="1044"/>
      <c r="GG554" s="1044"/>
      <c r="GH554" s="1044"/>
      <c r="GI554" s="1044"/>
      <c r="GJ554" s="1044"/>
      <c r="GK554" s="1044"/>
      <c r="GL554" s="1044"/>
      <c r="GM554" s="1044"/>
      <c r="GN554" s="1044"/>
      <c r="GO554" s="1044"/>
      <c r="GP554" s="1044"/>
      <c r="GQ554" s="1044"/>
      <c r="GR554" s="1044"/>
      <c r="GS554" s="1044"/>
    </row>
    <row r="555" spans="1:201" s="1138" customFormat="1" ht="12.75">
      <c r="A555" s="1137"/>
      <c r="B555" s="1085"/>
      <c r="D555" s="1139"/>
      <c r="F555" s="1085"/>
      <c r="G555" s="1044"/>
      <c r="H555" s="1044"/>
      <c r="I555" s="1044"/>
      <c r="J555" s="1044"/>
      <c r="K555" s="1044"/>
      <c r="L555" s="1044"/>
      <c r="M555" s="1044"/>
      <c r="N555" s="1044"/>
      <c r="O555" s="1044"/>
      <c r="P555" s="1044"/>
      <c r="Q555" s="1044"/>
      <c r="R555" s="1044"/>
      <c r="S555" s="1044"/>
      <c r="T555" s="1044"/>
      <c r="U555" s="1044"/>
      <c r="V555" s="1044"/>
      <c r="W555" s="1044"/>
      <c r="X555" s="1044"/>
      <c r="Y555" s="1044"/>
      <c r="Z555" s="1044"/>
      <c r="AA555" s="1044"/>
      <c r="AB555" s="1044"/>
      <c r="AC555" s="1044"/>
      <c r="AD555" s="1044"/>
      <c r="AE555" s="1044"/>
      <c r="AF555" s="1044"/>
      <c r="AG555" s="1044"/>
      <c r="AH555" s="1044"/>
      <c r="AI555" s="1044"/>
      <c r="AJ555" s="1044"/>
      <c r="AK555" s="1044"/>
      <c r="AL555" s="1044"/>
      <c r="AM555" s="1044"/>
      <c r="AN555" s="1044"/>
      <c r="AO555" s="1044"/>
      <c r="AP555" s="1044"/>
      <c r="AQ555" s="1044"/>
      <c r="AR555" s="1044"/>
      <c r="AS555" s="1044"/>
      <c r="AT555" s="1044"/>
      <c r="AU555" s="1044"/>
      <c r="AV555" s="1044"/>
      <c r="AW555" s="1044"/>
      <c r="AX555" s="1044"/>
      <c r="AY555" s="1044"/>
      <c r="AZ555" s="1044"/>
      <c r="BA555" s="1044"/>
      <c r="BB555" s="1044"/>
      <c r="BC555" s="1044"/>
      <c r="BD555" s="1044"/>
      <c r="BE555" s="1044"/>
      <c r="BF555" s="1044"/>
      <c r="BG555" s="1044"/>
      <c r="BH555" s="1044"/>
      <c r="BI555" s="1044"/>
      <c r="BJ555" s="1044"/>
      <c r="BK555" s="1044"/>
      <c r="BL555" s="1044"/>
      <c r="BM555" s="1044"/>
      <c r="BN555" s="1044"/>
      <c r="BO555" s="1044"/>
      <c r="BP555" s="1044"/>
      <c r="BQ555" s="1044"/>
      <c r="BR555" s="1044"/>
      <c r="BS555" s="1044"/>
      <c r="BT555" s="1044"/>
      <c r="BU555" s="1044"/>
      <c r="BV555" s="1044"/>
      <c r="BW555" s="1044"/>
      <c r="BX555" s="1044"/>
      <c r="BY555" s="1044"/>
      <c r="BZ555" s="1044"/>
      <c r="CA555" s="1044"/>
      <c r="CB555" s="1044"/>
      <c r="CC555" s="1044"/>
      <c r="CD555" s="1044"/>
      <c r="CE555" s="1044"/>
      <c r="CF555" s="1044"/>
      <c r="CG555" s="1044"/>
      <c r="CH555" s="1044"/>
      <c r="CI555" s="1044"/>
      <c r="CJ555" s="1044"/>
      <c r="CK555" s="1044"/>
      <c r="CL555" s="1044"/>
      <c r="CM555" s="1044"/>
      <c r="CN555" s="1044"/>
      <c r="CO555" s="1044"/>
      <c r="CP555" s="1044"/>
      <c r="CQ555" s="1044"/>
      <c r="CR555" s="1044"/>
      <c r="CS555" s="1044"/>
      <c r="CT555" s="1044"/>
      <c r="CU555" s="1044"/>
      <c r="CV555" s="1044"/>
      <c r="CW555" s="1044"/>
      <c r="CX555" s="1044"/>
      <c r="CY555" s="1044"/>
      <c r="CZ555" s="1044"/>
      <c r="DA555" s="1044"/>
      <c r="DB555" s="1044"/>
      <c r="DC555" s="1044"/>
      <c r="DD555" s="1044"/>
      <c r="DE555" s="1044"/>
      <c r="DF555" s="1044"/>
      <c r="DG555" s="1044"/>
      <c r="DH555" s="1044"/>
      <c r="DI555" s="1044"/>
      <c r="DJ555" s="1044"/>
      <c r="DK555" s="1044"/>
      <c r="DL555" s="1044"/>
      <c r="DM555" s="1044"/>
      <c r="DN555" s="1044"/>
      <c r="DO555" s="1044"/>
      <c r="DP555" s="1044"/>
      <c r="DQ555" s="1044"/>
      <c r="DR555" s="1044"/>
      <c r="DS555" s="1044"/>
      <c r="DT555" s="1044"/>
      <c r="DU555" s="1044"/>
      <c r="DV555" s="1044"/>
      <c r="DW555" s="1044"/>
      <c r="DX555" s="1044"/>
      <c r="DY555" s="1044"/>
      <c r="DZ555" s="1044"/>
      <c r="EA555" s="1044"/>
      <c r="EB555" s="1044"/>
      <c r="EC555" s="1044"/>
      <c r="ED555" s="1044"/>
      <c r="EE555" s="1044"/>
      <c r="EF555" s="1044"/>
      <c r="EG555" s="1044"/>
      <c r="EH555" s="1044"/>
      <c r="EI555" s="1044"/>
      <c r="EJ555" s="1044"/>
      <c r="EK555" s="1044"/>
      <c r="EL555" s="1044"/>
      <c r="EM555" s="1044"/>
      <c r="EN555" s="1044"/>
      <c r="EO555" s="1044"/>
      <c r="EP555" s="1044"/>
      <c r="EQ555" s="1044"/>
      <c r="ER555" s="1044"/>
      <c r="ES555" s="1044"/>
      <c r="ET555" s="1044"/>
      <c r="EU555" s="1044"/>
      <c r="EV555" s="1044"/>
      <c r="EW555" s="1044"/>
      <c r="EX555" s="1044"/>
      <c r="EY555" s="1044"/>
      <c r="EZ555" s="1044"/>
      <c r="FA555" s="1044"/>
      <c r="FB555" s="1044"/>
      <c r="FC555" s="1044"/>
      <c r="FD555" s="1044"/>
      <c r="FE555" s="1044"/>
      <c r="FF555" s="1044"/>
      <c r="FG555" s="1044"/>
      <c r="FH555" s="1044"/>
      <c r="FI555" s="1044"/>
      <c r="FJ555" s="1044"/>
      <c r="FK555" s="1044"/>
      <c r="FL555" s="1044"/>
      <c r="FM555" s="1044"/>
      <c r="FN555" s="1044"/>
      <c r="FO555" s="1044"/>
      <c r="FP555" s="1044"/>
      <c r="FQ555" s="1044"/>
      <c r="FR555" s="1044"/>
      <c r="FS555" s="1044"/>
      <c r="FT555" s="1044"/>
      <c r="FU555" s="1044"/>
      <c r="FV555" s="1044"/>
      <c r="FW555" s="1044"/>
      <c r="FX555" s="1044"/>
      <c r="FY555" s="1044"/>
      <c r="FZ555" s="1044"/>
      <c r="GA555" s="1044"/>
      <c r="GB555" s="1044"/>
      <c r="GC555" s="1044"/>
      <c r="GD555" s="1044"/>
      <c r="GE555" s="1044"/>
      <c r="GF555" s="1044"/>
      <c r="GG555" s="1044"/>
      <c r="GH555" s="1044"/>
      <c r="GI555" s="1044"/>
      <c r="GJ555" s="1044"/>
      <c r="GK555" s="1044"/>
      <c r="GL555" s="1044"/>
      <c r="GM555" s="1044"/>
      <c r="GN555" s="1044"/>
      <c r="GO555" s="1044"/>
      <c r="GP555" s="1044"/>
      <c r="GQ555" s="1044"/>
      <c r="GR555" s="1044"/>
      <c r="GS555" s="1044"/>
    </row>
    <row r="556" spans="1:201" s="1138" customFormat="1" ht="12.75">
      <c r="A556" s="1137"/>
      <c r="B556" s="1085"/>
      <c r="D556" s="1139"/>
      <c r="F556" s="1085"/>
      <c r="G556" s="1044"/>
      <c r="H556" s="1044"/>
      <c r="I556" s="1044"/>
      <c r="J556" s="1044"/>
      <c r="K556" s="1044"/>
      <c r="L556" s="1044"/>
      <c r="M556" s="1044"/>
      <c r="N556" s="1044"/>
      <c r="O556" s="1044"/>
      <c r="P556" s="1044"/>
      <c r="Q556" s="1044"/>
      <c r="R556" s="1044"/>
      <c r="S556" s="1044"/>
      <c r="T556" s="1044"/>
      <c r="U556" s="1044"/>
      <c r="V556" s="1044"/>
      <c r="W556" s="1044"/>
      <c r="X556" s="1044"/>
      <c r="Y556" s="1044"/>
      <c r="Z556" s="1044"/>
      <c r="AA556" s="1044"/>
      <c r="AB556" s="1044"/>
      <c r="AC556" s="1044"/>
      <c r="AD556" s="1044"/>
      <c r="AE556" s="1044"/>
      <c r="AF556" s="1044"/>
      <c r="AG556" s="1044"/>
      <c r="AH556" s="1044"/>
      <c r="AI556" s="1044"/>
      <c r="AJ556" s="1044"/>
      <c r="AK556" s="1044"/>
      <c r="AL556" s="1044"/>
      <c r="AM556" s="1044"/>
      <c r="AN556" s="1044"/>
      <c r="AO556" s="1044"/>
      <c r="AP556" s="1044"/>
      <c r="AQ556" s="1044"/>
      <c r="AR556" s="1044"/>
      <c r="AS556" s="1044"/>
      <c r="AT556" s="1044"/>
      <c r="AU556" s="1044"/>
      <c r="AV556" s="1044"/>
      <c r="AW556" s="1044"/>
      <c r="AX556" s="1044"/>
      <c r="AY556" s="1044"/>
      <c r="AZ556" s="1044"/>
      <c r="BA556" s="1044"/>
      <c r="BB556" s="1044"/>
      <c r="BC556" s="1044"/>
      <c r="BD556" s="1044"/>
      <c r="BE556" s="1044"/>
      <c r="BF556" s="1044"/>
      <c r="BG556" s="1044"/>
      <c r="BH556" s="1044"/>
      <c r="BI556" s="1044"/>
      <c r="BJ556" s="1044"/>
      <c r="BK556" s="1044"/>
      <c r="BL556" s="1044"/>
      <c r="BM556" s="1044"/>
      <c r="BN556" s="1044"/>
      <c r="BO556" s="1044"/>
      <c r="BP556" s="1044"/>
      <c r="BQ556" s="1044"/>
      <c r="BR556" s="1044"/>
      <c r="BS556" s="1044"/>
      <c r="BT556" s="1044"/>
      <c r="BU556" s="1044"/>
      <c r="BV556" s="1044"/>
      <c r="BW556" s="1044"/>
      <c r="BX556" s="1044"/>
      <c r="BY556" s="1044"/>
      <c r="BZ556" s="1044"/>
      <c r="CA556" s="1044"/>
      <c r="CB556" s="1044"/>
      <c r="CC556" s="1044"/>
      <c r="CD556" s="1044"/>
      <c r="CE556" s="1044"/>
      <c r="CF556" s="1044"/>
      <c r="CG556" s="1044"/>
      <c r="CH556" s="1044"/>
      <c r="CI556" s="1044"/>
      <c r="CJ556" s="1044"/>
      <c r="CK556" s="1044"/>
      <c r="CL556" s="1044"/>
      <c r="CM556" s="1044"/>
      <c r="CN556" s="1044"/>
      <c r="CO556" s="1044"/>
      <c r="CP556" s="1044"/>
      <c r="CQ556" s="1044"/>
      <c r="CR556" s="1044"/>
      <c r="CS556" s="1044"/>
      <c r="CT556" s="1044"/>
      <c r="CU556" s="1044"/>
      <c r="CV556" s="1044"/>
      <c r="CW556" s="1044"/>
      <c r="CX556" s="1044"/>
      <c r="CY556" s="1044"/>
      <c r="CZ556" s="1044"/>
      <c r="DA556" s="1044"/>
      <c r="DB556" s="1044"/>
      <c r="DC556" s="1044"/>
      <c r="DD556" s="1044"/>
      <c r="DE556" s="1044"/>
      <c r="DF556" s="1044"/>
      <c r="DG556" s="1044"/>
      <c r="DH556" s="1044"/>
      <c r="DI556" s="1044"/>
      <c r="DJ556" s="1044"/>
      <c r="DK556" s="1044"/>
      <c r="DL556" s="1044"/>
      <c r="DM556" s="1044"/>
      <c r="DN556" s="1044"/>
      <c r="DO556" s="1044"/>
      <c r="DP556" s="1044"/>
      <c r="DQ556" s="1044"/>
      <c r="DR556" s="1044"/>
      <c r="DS556" s="1044"/>
      <c r="DT556" s="1044"/>
      <c r="DU556" s="1044"/>
      <c r="DV556" s="1044"/>
      <c r="DW556" s="1044"/>
      <c r="DX556" s="1044"/>
      <c r="DY556" s="1044"/>
      <c r="DZ556" s="1044"/>
      <c r="EA556" s="1044"/>
      <c r="EB556" s="1044"/>
      <c r="EC556" s="1044"/>
      <c r="ED556" s="1044"/>
      <c r="EE556" s="1044"/>
      <c r="EF556" s="1044"/>
      <c r="EG556" s="1044"/>
      <c r="EH556" s="1044"/>
      <c r="EI556" s="1044"/>
      <c r="EJ556" s="1044"/>
      <c r="EK556" s="1044"/>
      <c r="EL556" s="1044"/>
      <c r="EM556" s="1044"/>
      <c r="EN556" s="1044"/>
      <c r="EO556" s="1044"/>
      <c r="EP556" s="1044"/>
      <c r="EQ556" s="1044"/>
      <c r="ER556" s="1044"/>
      <c r="ES556" s="1044"/>
      <c r="ET556" s="1044"/>
      <c r="EU556" s="1044"/>
      <c r="EV556" s="1044"/>
      <c r="EW556" s="1044"/>
      <c r="EX556" s="1044"/>
      <c r="EY556" s="1044"/>
      <c r="EZ556" s="1044"/>
      <c r="FA556" s="1044"/>
      <c r="FB556" s="1044"/>
      <c r="FC556" s="1044"/>
      <c r="FD556" s="1044"/>
      <c r="FE556" s="1044"/>
      <c r="FF556" s="1044"/>
      <c r="FG556" s="1044"/>
      <c r="FH556" s="1044"/>
      <c r="FI556" s="1044"/>
      <c r="FJ556" s="1044"/>
      <c r="FK556" s="1044"/>
      <c r="FL556" s="1044"/>
      <c r="FM556" s="1044"/>
      <c r="FN556" s="1044"/>
      <c r="FO556" s="1044"/>
      <c r="FP556" s="1044"/>
      <c r="FQ556" s="1044"/>
      <c r="FR556" s="1044"/>
      <c r="FS556" s="1044"/>
      <c r="FT556" s="1044"/>
      <c r="FU556" s="1044"/>
      <c r="FV556" s="1044"/>
      <c r="FW556" s="1044"/>
      <c r="FX556" s="1044"/>
      <c r="FY556" s="1044"/>
      <c r="FZ556" s="1044"/>
      <c r="GA556" s="1044"/>
      <c r="GB556" s="1044"/>
      <c r="GC556" s="1044"/>
      <c r="GD556" s="1044"/>
      <c r="GE556" s="1044"/>
      <c r="GF556" s="1044"/>
      <c r="GG556" s="1044"/>
      <c r="GH556" s="1044"/>
      <c r="GI556" s="1044"/>
      <c r="GJ556" s="1044"/>
      <c r="GK556" s="1044"/>
      <c r="GL556" s="1044"/>
      <c r="GM556" s="1044"/>
      <c r="GN556" s="1044"/>
      <c r="GO556" s="1044"/>
      <c r="GP556" s="1044"/>
      <c r="GQ556" s="1044"/>
      <c r="GR556" s="1044"/>
      <c r="GS556" s="1044"/>
    </row>
    <row r="557" spans="1:201" s="1138" customFormat="1" ht="12.75">
      <c r="A557" s="1137"/>
      <c r="B557" s="1085"/>
      <c r="D557" s="1139"/>
      <c r="F557" s="1085"/>
      <c r="G557" s="1044"/>
      <c r="H557" s="1044"/>
      <c r="I557" s="1044"/>
      <c r="J557" s="1044"/>
      <c r="K557" s="1044"/>
      <c r="L557" s="1044"/>
      <c r="M557" s="1044"/>
      <c r="N557" s="1044"/>
      <c r="O557" s="1044"/>
      <c r="P557" s="1044"/>
      <c r="Q557" s="1044"/>
      <c r="R557" s="1044"/>
      <c r="S557" s="1044"/>
      <c r="T557" s="1044"/>
      <c r="U557" s="1044"/>
      <c r="V557" s="1044"/>
      <c r="W557" s="1044"/>
      <c r="X557" s="1044"/>
      <c r="Y557" s="1044"/>
      <c r="Z557" s="1044"/>
      <c r="AA557" s="1044"/>
      <c r="AB557" s="1044"/>
      <c r="AC557" s="1044"/>
      <c r="AD557" s="1044"/>
      <c r="AE557" s="1044"/>
      <c r="AF557" s="1044"/>
      <c r="AG557" s="1044"/>
      <c r="AH557" s="1044"/>
      <c r="AI557" s="1044"/>
      <c r="AJ557" s="1044"/>
      <c r="AK557" s="1044"/>
      <c r="AL557" s="1044"/>
      <c r="AM557" s="1044"/>
      <c r="AN557" s="1044"/>
      <c r="AO557" s="1044"/>
      <c r="AP557" s="1044"/>
      <c r="AQ557" s="1044"/>
      <c r="AR557" s="1044"/>
      <c r="AS557" s="1044"/>
      <c r="AT557" s="1044"/>
      <c r="AU557" s="1044"/>
      <c r="AV557" s="1044"/>
      <c r="AW557" s="1044"/>
      <c r="AX557" s="1044"/>
      <c r="AY557" s="1044"/>
      <c r="AZ557" s="1044"/>
      <c r="BA557" s="1044"/>
      <c r="BB557" s="1044"/>
      <c r="BC557" s="1044"/>
      <c r="BD557" s="1044"/>
      <c r="BE557" s="1044"/>
      <c r="BF557" s="1044"/>
      <c r="BG557" s="1044"/>
      <c r="BH557" s="1044"/>
      <c r="BI557" s="1044"/>
      <c r="BJ557" s="1044"/>
      <c r="BK557" s="1044"/>
      <c r="BL557" s="1044"/>
      <c r="BM557" s="1044"/>
      <c r="BN557" s="1044"/>
      <c r="BO557" s="1044"/>
      <c r="BP557" s="1044"/>
      <c r="BQ557" s="1044"/>
      <c r="BR557" s="1044"/>
      <c r="BS557" s="1044"/>
      <c r="BT557" s="1044"/>
      <c r="BU557" s="1044"/>
      <c r="BV557" s="1044"/>
      <c r="BW557" s="1044"/>
      <c r="BX557" s="1044"/>
      <c r="BY557" s="1044"/>
      <c r="BZ557" s="1044"/>
      <c r="CA557" s="1044"/>
      <c r="CB557" s="1044"/>
      <c r="CC557" s="1044"/>
      <c r="CD557" s="1044"/>
      <c r="CE557" s="1044"/>
      <c r="CF557" s="1044"/>
      <c r="CG557" s="1044"/>
      <c r="CH557" s="1044"/>
      <c r="CI557" s="1044"/>
      <c r="CJ557" s="1044"/>
      <c r="CK557" s="1044"/>
      <c r="CL557" s="1044"/>
      <c r="CM557" s="1044"/>
      <c r="CN557" s="1044"/>
      <c r="CO557" s="1044"/>
      <c r="CP557" s="1044"/>
      <c r="CQ557" s="1044"/>
      <c r="CR557" s="1044"/>
      <c r="CS557" s="1044"/>
      <c r="CT557" s="1044"/>
      <c r="CU557" s="1044"/>
      <c r="CV557" s="1044"/>
      <c r="CW557" s="1044"/>
      <c r="CX557" s="1044"/>
      <c r="CY557" s="1044"/>
      <c r="CZ557" s="1044"/>
      <c r="DA557" s="1044"/>
      <c r="DB557" s="1044"/>
      <c r="DC557" s="1044"/>
      <c r="DD557" s="1044"/>
      <c r="DE557" s="1044"/>
      <c r="DF557" s="1044"/>
      <c r="DG557" s="1044"/>
      <c r="DH557" s="1044"/>
      <c r="DI557" s="1044"/>
      <c r="DJ557" s="1044"/>
      <c r="DK557" s="1044"/>
      <c r="DL557" s="1044"/>
      <c r="DM557" s="1044"/>
      <c r="DN557" s="1044"/>
      <c r="DO557" s="1044"/>
      <c r="DP557" s="1044"/>
      <c r="DQ557" s="1044"/>
      <c r="DR557" s="1044"/>
      <c r="DS557" s="1044"/>
      <c r="DT557" s="1044"/>
      <c r="DU557" s="1044"/>
      <c r="DV557" s="1044"/>
      <c r="DW557" s="1044"/>
      <c r="DX557" s="1044"/>
      <c r="DY557" s="1044"/>
      <c r="DZ557" s="1044"/>
      <c r="EA557" s="1044"/>
      <c r="EB557" s="1044"/>
      <c r="EC557" s="1044"/>
      <c r="ED557" s="1044"/>
      <c r="EE557" s="1044"/>
      <c r="EF557" s="1044"/>
      <c r="EG557" s="1044"/>
      <c r="EH557" s="1044"/>
      <c r="EI557" s="1044"/>
      <c r="EJ557" s="1044"/>
      <c r="EK557" s="1044"/>
      <c r="EL557" s="1044"/>
      <c r="EM557" s="1044"/>
      <c r="EN557" s="1044"/>
      <c r="EO557" s="1044"/>
      <c r="EP557" s="1044"/>
      <c r="EQ557" s="1044"/>
      <c r="ER557" s="1044"/>
      <c r="ES557" s="1044"/>
      <c r="ET557" s="1044"/>
      <c r="EU557" s="1044"/>
      <c r="EV557" s="1044"/>
      <c r="EW557" s="1044"/>
      <c r="EX557" s="1044"/>
      <c r="EY557" s="1044"/>
      <c r="EZ557" s="1044"/>
      <c r="FA557" s="1044"/>
      <c r="FB557" s="1044"/>
      <c r="FC557" s="1044"/>
      <c r="FD557" s="1044"/>
      <c r="FE557" s="1044"/>
      <c r="FF557" s="1044"/>
      <c r="FG557" s="1044"/>
      <c r="FH557" s="1044"/>
      <c r="FI557" s="1044"/>
      <c r="FJ557" s="1044"/>
      <c r="FK557" s="1044"/>
      <c r="FL557" s="1044"/>
      <c r="FM557" s="1044"/>
      <c r="FN557" s="1044"/>
      <c r="FO557" s="1044"/>
      <c r="FP557" s="1044"/>
      <c r="FQ557" s="1044"/>
      <c r="FR557" s="1044"/>
      <c r="FS557" s="1044"/>
      <c r="FT557" s="1044"/>
      <c r="FU557" s="1044"/>
      <c r="FV557" s="1044"/>
      <c r="FW557" s="1044"/>
      <c r="FX557" s="1044"/>
      <c r="FY557" s="1044"/>
      <c r="FZ557" s="1044"/>
      <c r="GA557" s="1044"/>
      <c r="GB557" s="1044"/>
      <c r="GC557" s="1044"/>
      <c r="GD557" s="1044"/>
      <c r="GE557" s="1044"/>
      <c r="GF557" s="1044"/>
      <c r="GG557" s="1044"/>
      <c r="GH557" s="1044"/>
      <c r="GI557" s="1044"/>
      <c r="GJ557" s="1044"/>
      <c r="GK557" s="1044"/>
      <c r="GL557" s="1044"/>
      <c r="GM557" s="1044"/>
      <c r="GN557" s="1044"/>
      <c r="GO557" s="1044"/>
      <c r="GP557" s="1044"/>
      <c r="GQ557" s="1044"/>
      <c r="GR557" s="1044"/>
      <c r="GS557" s="1044"/>
    </row>
    <row r="558" spans="1:201" s="1138" customFormat="1" ht="12.75">
      <c r="A558" s="1137"/>
      <c r="B558" s="1085"/>
      <c r="D558" s="1139"/>
      <c r="F558" s="1085"/>
      <c r="G558" s="1044"/>
      <c r="H558" s="1044"/>
      <c r="I558" s="1044"/>
      <c r="J558" s="1044"/>
      <c r="K558" s="1044"/>
      <c r="L558" s="1044"/>
      <c r="M558" s="1044"/>
      <c r="N558" s="1044"/>
      <c r="O558" s="1044"/>
      <c r="P558" s="1044"/>
      <c r="Q558" s="1044"/>
      <c r="R558" s="1044"/>
      <c r="S558" s="1044"/>
      <c r="T558" s="1044"/>
      <c r="U558" s="1044"/>
      <c r="V558" s="1044"/>
      <c r="W558" s="1044"/>
      <c r="X558" s="1044"/>
      <c r="Y558" s="1044"/>
      <c r="Z558" s="1044"/>
      <c r="AA558" s="1044"/>
      <c r="AB558" s="1044"/>
      <c r="AC558" s="1044"/>
      <c r="AD558" s="1044"/>
      <c r="AE558" s="1044"/>
      <c r="AF558" s="1044"/>
      <c r="AG558" s="1044"/>
      <c r="AH558" s="1044"/>
      <c r="AI558" s="1044"/>
      <c r="AJ558" s="1044"/>
      <c r="AK558" s="1044"/>
      <c r="AL558" s="1044"/>
      <c r="AM558" s="1044"/>
      <c r="AN558" s="1044"/>
      <c r="AO558" s="1044"/>
      <c r="AP558" s="1044"/>
      <c r="AQ558" s="1044"/>
      <c r="AR558" s="1044"/>
      <c r="AS558" s="1044"/>
      <c r="AT558" s="1044"/>
      <c r="AU558" s="1044"/>
      <c r="AV558" s="1044"/>
      <c r="AW558" s="1044"/>
      <c r="AX558" s="1044"/>
      <c r="AY558" s="1044"/>
      <c r="AZ558" s="1044"/>
      <c r="BA558" s="1044"/>
      <c r="BB558" s="1044"/>
      <c r="BC558" s="1044"/>
      <c r="BD558" s="1044"/>
      <c r="BE558" s="1044"/>
      <c r="BF558" s="1044"/>
      <c r="BG558" s="1044"/>
      <c r="BH558" s="1044"/>
      <c r="BI558" s="1044"/>
      <c r="BJ558" s="1044"/>
      <c r="BK558" s="1044"/>
      <c r="BL558" s="1044"/>
      <c r="BM558" s="1044"/>
      <c r="BN558" s="1044"/>
      <c r="BO558" s="1044"/>
      <c r="BP558" s="1044"/>
      <c r="BQ558" s="1044"/>
      <c r="BR558" s="1044"/>
      <c r="BS558" s="1044"/>
      <c r="BT558" s="1044"/>
      <c r="BU558" s="1044"/>
      <c r="BV558" s="1044"/>
      <c r="BW558" s="1044"/>
      <c r="BX558" s="1044"/>
      <c r="BY558" s="1044"/>
      <c r="BZ558" s="1044"/>
      <c r="CA558" s="1044"/>
      <c r="CB558" s="1044"/>
      <c r="CC558" s="1044"/>
      <c r="CD558" s="1044"/>
      <c r="CE558" s="1044"/>
      <c r="CF558" s="1044"/>
      <c r="CG558" s="1044"/>
      <c r="CH558" s="1044"/>
      <c r="CI558" s="1044"/>
      <c r="CJ558" s="1044"/>
      <c r="CK558" s="1044"/>
      <c r="CL558" s="1044"/>
      <c r="CM558" s="1044"/>
      <c r="CN558" s="1044"/>
      <c r="CO558" s="1044"/>
      <c r="CP558" s="1044"/>
      <c r="CQ558" s="1044"/>
      <c r="CR558" s="1044"/>
      <c r="CS558" s="1044"/>
      <c r="CT558" s="1044"/>
      <c r="CU558" s="1044"/>
      <c r="CV558" s="1044"/>
      <c r="CW558" s="1044"/>
      <c r="CX558" s="1044"/>
      <c r="CY558" s="1044"/>
      <c r="CZ558" s="1044"/>
      <c r="DA558" s="1044"/>
      <c r="DB558" s="1044"/>
      <c r="DC558" s="1044"/>
      <c r="DD558" s="1044"/>
      <c r="DE558" s="1044"/>
      <c r="DF558" s="1044"/>
      <c r="DG558" s="1044"/>
      <c r="DH558" s="1044"/>
      <c r="DI558" s="1044"/>
      <c r="DJ558" s="1044"/>
      <c r="DK558" s="1044"/>
      <c r="DL558" s="1044"/>
      <c r="DM558" s="1044"/>
      <c r="DN558" s="1044"/>
      <c r="DO558" s="1044"/>
      <c r="DP558" s="1044"/>
      <c r="DQ558" s="1044"/>
      <c r="DR558" s="1044"/>
      <c r="DS558" s="1044"/>
      <c r="DT558" s="1044"/>
      <c r="DU558" s="1044"/>
      <c r="DV558" s="1044"/>
      <c r="DW558" s="1044"/>
      <c r="DX558" s="1044"/>
      <c r="DY558" s="1044"/>
      <c r="DZ558" s="1044"/>
      <c r="EA558" s="1044"/>
      <c r="EB558" s="1044"/>
      <c r="EC558" s="1044"/>
      <c r="ED558" s="1044"/>
      <c r="EE558" s="1044"/>
      <c r="EF558" s="1044"/>
      <c r="EG558" s="1044"/>
      <c r="EH558" s="1044"/>
      <c r="EI558" s="1044"/>
      <c r="EJ558" s="1044"/>
      <c r="EK558" s="1044"/>
      <c r="EL558" s="1044"/>
      <c r="EM558" s="1044"/>
      <c r="EN558" s="1044"/>
      <c r="EO558" s="1044"/>
      <c r="EP558" s="1044"/>
      <c r="EQ558" s="1044"/>
      <c r="ER558" s="1044"/>
      <c r="ES558" s="1044"/>
      <c r="ET558" s="1044"/>
      <c r="EU558" s="1044"/>
      <c r="EV558" s="1044"/>
      <c r="EW558" s="1044"/>
      <c r="EX558" s="1044"/>
      <c r="EY558" s="1044"/>
      <c r="EZ558" s="1044"/>
      <c r="FA558" s="1044"/>
      <c r="FB558" s="1044"/>
      <c r="FC558" s="1044"/>
      <c r="FD558" s="1044"/>
      <c r="FE558" s="1044"/>
      <c r="FF558" s="1044"/>
      <c r="FG558" s="1044"/>
      <c r="FH558" s="1044"/>
      <c r="FI558" s="1044"/>
      <c r="FJ558" s="1044"/>
      <c r="FK558" s="1044"/>
      <c r="FL558" s="1044"/>
      <c r="FM558" s="1044"/>
      <c r="FN558" s="1044"/>
      <c r="FO558" s="1044"/>
      <c r="FP558" s="1044"/>
      <c r="FQ558" s="1044"/>
      <c r="FR558" s="1044"/>
      <c r="FS558" s="1044"/>
      <c r="FT558" s="1044"/>
      <c r="FU558" s="1044"/>
      <c r="FV558" s="1044"/>
      <c r="FW558" s="1044"/>
      <c r="FX558" s="1044"/>
      <c r="FY558" s="1044"/>
      <c r="FZ558" s="1044"/>
      <c r="GA558" s="1044"/>
      <c r="GB558" s="1044"/>
      <c r="GC558" s="1044"/>
      <c r="GD558" s="1044"/>
      <c r="GE558" s="1044"/>
      <c r="GF558" s="1044"/>
      <c r="GG558" s="1044"/>
      <c r="GH558" s="1044"/>
      <c r="GI558" s="1044"/>
      <c r="GJ558" s="1044"/>
      <c r="GK558" s="1044"/>
      <c r="GL558" s="1044"/>
      <c r="GM558" s="1044"/>
      <c r="GN558" s="1044"/>
      <c r="GO558" s="1044"/>
      <c r="GP558" s="1044"/>
      <c r="GQ558" s="1044"/>
      <c r="GR558" s="1044"/>
      <c r="GS558" s="1044"/>
    </row>
    <row r="559" spans="1:201" s="1138" customFormat="1" ht="12.75">
      <c r="A559" s="1137"/>
      <c r="B559" s="1085"/>
      <c r="D559" s="1139"/>
      <c r="F559" s="1085"/>
      <c r="G559" s="1044"/>
      <c r="H559" s="1044"/>
      <c r="I559" s="1044"/>
      <c r="J559" s="1044"/>
      <c r="K559" s="1044"/>
      <c r="L559" s="1044"/>
      <c r="M559" s="1044"/>
      <c r="N559" s="1044"/>
      <c r="O559" s="1044"/>
      <c r="P559" s="1044"/>
      <c r="Q559" s="1044"/>
      <c r="R559" s="1044"/>
      <c r="S559" s="1044"/>
      <c r="T559" s="1044"/>
      <c r="U559" s="1044"/>
      <c r="V559" s="1044"/>
      <c r="W559" s="1044"/>
      <c r="X559" s="1044"/>
      <c r="Y559" s="1044"/>
      <c r="Z559" s="1044"/>
      <c r="AA559" s="1044"/>
      <c r="AB559" s="1044"/>
      <c r="AC559" s="1044"/>
      <c r="AD559" s="1044"/>
      <c r="AE559" s="1044"/>
      <c r="AF559" s="1044"/>
      <c r="AG559" s="1044"/>
      <c r="AH559" s="1044"/>
      <c r="AI559" s="1044"/>
      <c r="AJ559" s="1044"/>
      <c r="AK559" s="1044"/>
      <c r="AL559" s="1044"/>
      <c r="AM559" s="1044"/>
      <c r="AN559" s="1044"/>
      <c r="AO559" s="1044"/>
      <c r="AP559" s="1044"/>
      <c r="AQ559" s="1044"/>
      <c r="AR559" s="1044"/>
      <c r="AS559" s="1044"/>
      <c r="AT559" s="1044"/>
      <c r="AU559" s="1044"/>
      <c r="AV559" s="1044"/>
      <c r="AW559" s="1044"/>
      <c r="AX559" s="1044"/>
      <c r="AY559" s="1044"/>
      <c r="AZ559" s="1044"/>
      <c r="BA559" s="1044"/>
      <c r="BB559" s="1044"/>
      <c r="BC559" s="1044"/>
      <c r="BD559" s="1044"/>
      <c r="BE559" s="1044"/>
      <c r="BF559" s="1044"/>
      <c r="BG559" s="1044"/>
      <c r="BH559" s="1044"/>
      <c r="BI559" s="1044"/>
      <c r="BJ559" s="1044"/>
      <c r="BK559" s="1044"/>
      <c r="BL559" s="1044"/>
      <c r="BM559" s="1044"/>
      <c r="BN559" s="1044"/>
      <c r="BO559" s="1044"/>
      <c r="BP559" s="1044"/>
      <c r="BQ559" s="1044"/>
      <c r="BR559" s="1044"/>
      <c r="BS559" s="1044"/>
      <c r="BT559" s="1044"/>
      <c r="BU559" s="1044"/>
      <c r="BV559" s="1044"/>
      <c r="BW559" s="1044"/>
      <c r="BX559" s="1044"/>
      <c r="BY559" s="1044"/>
      <c r="BZ559" s="1044"/>
      <c r="CA559" s="1044"/>
      <c r="CB559" s="1044"/>
      <c r="CC559" s="1044"/>
      <c r="CD559" s="1044"/>
      <c r="CE559" s="1044"/>
      <c r="CF559" s="1044"/>
      <c r="CG559" s="1044"/>
      <c r="CH559" s="1044"/>
      <c r="CI559" s="1044"/>
      <c r="CJ559" s="1044"/>
      <c r="CK559" s="1044"/>
      <c r="CL559" s="1044"/>
      <c r="CM559" s="1044"/>
      <c r="CN559" s="1044"/>
      <c r="CO559" s="1044"/>
      <c r="CP559" s="1044"/>
      <c r="CQ559" s="1044"/>
      <c r="CR559" s="1044"/>
      <c r="CS559" s="1044"/>
      <c r="CT559" s="1044"/>
      <c r="CU559" s="1044"/>
      <c r="CV559" s="1044"/>
      <c r="CW559" s="1044"/>
      <c r="CX559" s="1044"/>
      <c r="CY559" s="1044"/>
      <c r="CZ559" s="1044"/>
      <c r="DA559" s="1044"/>
      <c r="DB559" s="1044"/>
      <c r="DC559" s="1044"/>
      <c r="DD559" s="1044"/>
      <c r="DE559" s="1044"/>
      <c r="DF559" s="1044"/>
      <c r="DG559" s="1044"/>
      <c r="DH559" s="1044"/>
      <c r="DI559" s="1044"/>
      <c r="DJ559" s="1044"/>
      <c r="DK559" s="1044"/>
      <c r="DL559" s="1044"/>
      <c r="DM559" s="1044"/>
      <c r="DN559" s="1044"/>
      <c r="DO559" s="1044"/>
      <c r="DP559" s="1044"/>
      <c r="DQ559" s="1044"/>
      <c r="DR559" s="1044"/>
      <c r="DS559" s="1044"/>
      <c r="DT559" s="1044"/>
      <c r="DU559" s="1044"/>
      <c r="DV559" s="1044"/>
      <c r="DW559" s="1044"/>
      <c r="DX559" s="1044"/>
      <c r="DY559" s="1044"/>
      <c r="DZ559" s="1044"/>
      <c r="EA559" s="1044"/>
      <c r="EB559" s="1044"/>
      <c r="EC559" s="1044"/>
      <c r="ED559" s="1044"/>
      <c r="EE559" s="1044"/>
      <c r="EF559" s="1044"/>
      <c r="EG559" s="1044"/>
      <c r="EH559" s="1044"/>
      <c r="EI559" s="1044"/>
      <c r="EJ559" s="1044"/>
      <c r="EK559" s="1044"/>
      <c r="EL559" s="1044"/>
      <c r="EM559" s="1044"/>
      <c r="EN559" s="1044"/>
      <c r="EO559" s="1044"/>
      <c r="EP559" s="1044"/>
      <c r="EQ559" s="1044"/>
      <c r="ER559" s="1044"/>
      <c r="ES559" s="1044"/>
      <c r="ET559" s="1044"/>
      <c r="EU559" s="1044"/>
      <c r="EV559" s="1044"/>
      <c r="EW559" s="1044"/>
      <c r="EX559" s="1044"/>
      <c r="EY559" s="1044"/>
      <c r="EZ559" s="1044"/>
      <c r="FA559" s="1044"/>
      <c r="FB559" s="1044"/>
      <c r="FC559" s="1044"/>
      <c r="FD559" s="1044"/>
      <c r="FE559" s="1044"/>
      <c r="FF559" s="1044"/>
      <c r="FG559" s="1044"/>
      <c r="FH559" s="1044"/>
      <c r="FI559" s="1044"/>
      <c r="FJ559" s="1044"/>
      <c r="FK559" s="1044"/>
      <c r="FL559" s="1044"/>
      <c r="FM559" s="1044"/>
      <c r="FN559" s="1044"/>
      <c r="FO559" s="1044"/>
      <c r="FP559" s="1044"/>
      <c r="FQ559" s="1044"/>
      <c r="FR559" s="1044"/>
      <c r="FS559" s="1044"/>
      <c r="FT559" s="1044"/>
      <c r="FU559" s="1044"/>
      <c r="FV559" s="1044"/>
      <c r="FW559" s="1044"/>
      <c r="FX559" s="1044"/>
      <c r="FY559" s="1044"/>
      <c r="FZ559" s="1044"/>
      <c r="GA559" s="1044"/>
      <c r="GB559" s="1044"/>
      <c r="GC559" s="1044"/>
      <c r="GD559" s="1044"/>
      <c r="GE559" s="1044"/>
      <c r="GF559" s="1044"/>
      <c r="GG559" s="1044"/>
      <c r="GH559" s="1044"/>
      <c r="GI559" s="1044"/>
      <c r="GJ559" s="1044"/>
      <c r="GK559" s="1044"/>
      <c r="GL559" s="1044"/>
      <c r="GM559" s="1044"/>
      <c r="GN559" s="1044"/>
      <c r="GO559" s="1044"/>
      <c r="GP559" s="1044"/>
      <c r="GQ559" s="1044"/>
      <c r="GR559" s="1044"/>
      <c r="GS559" s="1044"/>
    </row>
    <row r="560" spans="1:201" s="1138" customFormat="1" ht="12.75">
      <c r="A560" s="1137"/>
      <c r="B560" s="1085"/>
      <c r="D560" s="1139"/>
      <c r="F560" s="1085"/>
      <c r="G560" s="1044"/>
      <c r="H560" s="1044"/>
      <c r="I560" s="1044"/>
      <c r="J560" s="1044"/>
      <c r="K560" s="1044"/>
      <c r="L560" s="1044"/>
      <c r="M560" s="1044"/>
      <c r="N560" s="1044"/>
      <c r="O560" s="1044"/>
      <c r="P560" s="1044"/>
      <c r="Q560" s="1044"/>
      <c r="R560" s="1044"/>
      <c r="S560" s="1044"/>
      <c r="T560" s="1044"/>
      <c r="U560" s="1044"/>
      <c r="V560" s="1044"/>
      <c r="W560" s="1044"/>
      <c r="X560" s="1044"/>
      <c r="Y560" s="1044"/>
      <c r="Z560" s="1044"/>
      <c r="AA560" s="1044"/>
      <c r="AB560" s="1044"/>
      <c r="AC560" s="1044"/>
      <c r="AD560" s="1044"/>
      <c r="AE560" s="1044"/>
      <c r="AF560" s="1044"/>
      <c r="AG560" s="1044"/>
      <c r="AH560" s="1044"/>
      <c r="AI560" s="1044"/>
      <c r="AJ560" s="1044"/>
      <c r="AK560" s="1044"/>
      <c r="AL560" s="1044"/>
      <c r="AM560" s="1044"/>
      <c r="AN560" s="1044"/>
      <c r="AO560" s="1044"/>
      <c r="AP560" s="1044"/>
      <c r="AQ560" s="1044"/>
      <c r="AR560" s="1044"/>
      <c r="AS560" s="1044"/>
      <c r="AT560" s="1044"/>
      <c r="AU560" s="1044"/>
      <c r="AV560" s="1044"/>
      <c r="AW560" s="1044"/>
      <c r="AX560" s="1044"/>
      <c r="AY560" s="1044"/>
      <c r="AZ560" s="1044"/>
      <c r="BA560" s="1044"/>
      <c r="BB560" s="1044"/>
      <c r="BC560" s="1044"/>
      <c r="BD560" s="1044"/>
      <c r="BE560" s="1044"/>
      <c r="BF560" s="1044"/>
      <c r="BG560" s="1044"/>
      <c r="BH560" s="1044"/>
      <c r="BI560" s="1044"/>
      <c r="BJ560" s="1044"/>
      <c r="BK560" s="1044"/>
      <c r="BL560" s="1044"/>
      <c r="BM560" s="1044"/>
      <c r="BN560" s="1044"/>
      <c r="BO560" s="1044"/>
      <c r="BP560" s="1044"/>
      <c r="BQ560" s="1044"/>
      <c r="BR560" s="1044"/>
      <c r="BS560" s="1044"/>
      <c r="BT560" s="1044"/>
      <c r="BU560" s="1044"/>
      <c r="BV560" s="1044"/>
      <c r="BW560" s="1044"/>
      <c r="BX560" s="1044"/>
      <c r="BY560" s="1044"/>
      <c r="BZ560" s="1044"/>
      <c r="CA560" s="1044"/>
      <c r="CB560" s="1044"/>
      <c r="CC560" s="1044"/>
      <c r="CD560" s="1044"/>
      <c r="CE560" s="1044"/>
      <c r="CF560" s="1044"/>
      <c r="CG560" s="1044"/>
      <c r="CH560" s="1044"/>
      <c r="CI560" s="1044"/>
      <c r="CJ560" s="1044"/>
      <c r="CK560" s="1044"/>
      <c r="CL560" s="1044"/>
      <c r="CM560" s="1044"/>
      <c r="CN560" s="1044"/>
      <c r="CO560" s="1044"/>
      <c r="CP560" s="1044"/>
      <c r="CQ560" s="1044"/>
      <c r="CR560" s="1044"/>
      <c r="CS560" s="1044"/>
      <c r="CT560" s="1044"/>
      <c r="CU560" s="1044"/>
      <c r="CV560" s="1044"/>
      <c r="CW560" s="1044"/>
      <c r="CX560" s="1044"/>
      <c r="CY560" s="1044"/>
      <c r="CZ560" s="1044"/>
      <c r="DA560" s="1044"/>
      <c r="DB560" s="1044"/>
      <c r="DC560" s="1044"/>
      <c r="DD560" s="1044"/>
      <c r="DE560" s="1044"/>
      <c r="DF560" s="1044"/>
      <c r="DG560" s="1044"/>
      <c r="DH560" s="1044"/>
      <c r="DI560" s="1044"/>
      <c r="DJ560" s="1044"/>
      <c r="DK560" s="1044"/>
      <c r="DL560" s="1044"/>
      <c r="DM560" s="1044"/>
      <c r="DN560" s="1044"/>
      <c r="DO560" s="1044"/>
      <c r="DP560" s="1044"/>
      <c r="DQ560" s="1044"/>
      <c r="DR560" s="1044"/>
      <c r="DS560" s="1044"/>
      <c r="DT560" s="1044"/>
      <c r="DU560" s="1044"/>
      <c r="DV560" s="1044"/>
      <c r="DW560" s="1044"/>
      <c r="DX560" s="1044"/>
      <c r="DY560" s="1044"/>
      <c r="DZ560" s="1044"/>
      <c r="EA560" s="1044"/>
      <c r="EB560" s="1044"/>
      <c r="EC560" s="1044"/>
      <c r="ED560" s="1044"/>
      <c r="EE560" s="1044"/>
      <c r="EF560" s="1044"/>
      <c r="EG560" s="1044"/>
      <c r="EH560" s="1044"/>
      <c r="EI560" s="1044"/>
      <c r="EJ560" s="1044"/>
      <c r="EK560" s="1044"/>
      <c r="EL560" s="1044"/>
      <c r="EM560" s="1044"/>
      <c r="EN560" s="1044"/>
      <c r="EO560" s="1044"/>
      <c r="EP560" s="1044"/>
      <c r="EQ560" s="1044"/>
      <c r="ER560" s="1044"/>
      <c r="ES560" s="1044"/>
      <c r="ET560" s="1044"/>
      <c r="EU560" s="1044"/>
      <c r="EV560" s="1044"/>
      <c r="EW560" s="1044"/>
      <c r="EX560" s="1044"/>
      <c r="EY560" s="1044"/>
      <c r="EZ560" s="1044"/>
      <c r="FA560" s="1044"/>
      <c r="FB560" s="1044"/>
      <c r="FC560" s="1044"/>
      <c r="FD560" s="1044"/>
      <c r="FE560" s="1044"/>
      <c r="FF560" s="1044"/>
      <c r="FG560" s="1044"/>
      <c r="FH560" s="1044"/>
      <c r="FI560" s="1044"/>
      <c r="FJ560" s="1044"/>
      <c r="FK560" s="1044"/>
      <c r="FL560" s="1044"/>
      <c r="FM560" s="1044"/>
      <c r="FN560" s="1044"/>
      <c r="FO560" s="1044"/>
      <c r="FP560" s="1044"/>
      <c r="FQ560" s="1044"/>
      <c r="FR560" s="1044"/>
      <c r="FS560" s="1044"/>
      <c r="FT560" s="1044"/>
      <c r="FU560" s="1044"/>
      <c r="FV560" s="1044"/>
      <c r="FW560" s="1044"/>
      <c r="FX560" s="1044"/>
      <c r="FY560" s="1044"/>
      <c r="FZ560" s="1044"/>
      <c r="GA560" s="1044"/>
      <c r="GB560" s="1044"/>
      <c r="GC560" s="1044"/>
      <c r="GD560" s="1044"/>
      <c r="GE560" s="1044"/>
      <c r="GF560" s="1044"/>
      <c r="GG560" s="1044"/>
      <c r="GH560" s="1044"/>
      <c r="GI560" s="1044"/>
      <c r="GJ560" s="1044"/>
      <c r="GK560" s="1044"/>
      <c r="GL560" s="1044"/>
      <c r="GM560" s="1044"/>
      <c r="GN560" s="1044"/>
      <c r="GO560" s="1044"/>
      <c r="GP560" s="1044"/>
      <c r="GQ560" s="1044"/>
      <c r="GR560" s="1044"/>
      <c r="GS560" s="1044"/>
    </row>
    <row r="561" spans="1:201" s="1138" customFormat="1" ht="12.75">
      <c r="A561" s="1137"/>
      <c r="B561" s="1085"/>
      <c r="D561" s="1139"/>
      <c r="F561" s="1085"/>
      <c r="G561" s="1044"/>
      <c r="H561" s="1044"/>
      <c r="I561" s="1044"/>
      <c r="J561" s="1044"/>
      <c r="K561" s="1044"/>
      <c r="L561" s="1044"/>
      <c r="M561" s="1044"/>
      <c r="N561" s="1044"/>
      <c r="O561" s="1044"/>
      <c r="P561" s="1044"/>
      <c r="Q561" s="1044"/>
      <c r="R561" s="1044"/>
      <c r="S561" s="1044"/>
      <c r="T561" s="1044"/>
      <c r="U561" s="1044"/>
      <c r="V561" s="1044"/>
      <c r="W561" s="1044"/>
      <c r="X561" s="1044"/>
      <c r="Y561" s="1044"/>
      <c r="Z561" s="1044"/>
      <c r="AA561" s="1044"/>
      <c r="AB561" s="1044"/>
      <c r="AC561" s="1044"/>
      <c r="AD561" s="1044"/>
      <c r="AE561" s="1044"/>
      <c r="AF561" s="1044"/>
      <c r="AG561" s="1044"/>
      <c r="AH561" s="1044"/>
      <c r="AI561" s="1044"/>
      <c r="AJ561" s="1044"/>
      <c r="AK561" s="1044"/>
      <c r="AL561" s="1044"/>
      <c r="AM561" s="1044"/>
      <c r="AN561" s="1044"/>
      <c r="AO561" s="1044"/>
      <c r="AP561" s="1044"/>
      <c r="AQ561" s="1044"/>
      <c r="AR561" s="1044"/>
      <c r="AS561" s="1044"/>
      <c r="AT561" s="1044"/>
      <c r="AU561" s="1044"/>
      <c r="AV561" s="1044"/>
      <c r="AW561" s="1044"/>
      <c r="AX561" s="1044"/>
      <c r="AY561" s="1044"/>
      <c r="AZ561" s="1044"/>
      <c r="BA561" s="1044"/>
      <c r="BB561" s="1044"/>
      <c r="BC561" s="1044"/>
      <c r="BD561" s="1044"/>
      <c r="BE561" s="1044"/>
      <c r="BF561" s="1044"/>
      <c r="BG561" s="1044"/>
      <c r="BH561" s="1044"/>
      <c r="BI561" s="1044"/>
      <c r="BJ561" s="1044"/>
      <c r="BK561" s="1044"/>
      <c r="BL561" s="1044"/>
      <c r="BM561" s="1044"/>
      <c r="BN561" s="1044"/>
      <c r="BO561" s="1044"/>
      <c r="BP561" s="1044"/>
      <c r="BQ561" s="1044"/>
      <c r="BR561" s="1044"/>
      <c r="BS561" s="1044"/>
      <c r="BT561" s="1044"/>
      <c r="BU561" s="1044"/>
      <c r="BV561" s="1044"/>
      <c r="BW561" s="1044"/>
      <c r="BX561" s="1044"/>
      <c r="BY561" s="1044"/>
      <c r="BZ561" s="1044"/>
      <c r="CA561" s="1044"/>
      <c r="CB561" s="1044"/>
      <c r="CC561" s="1044"/>
      <c r="CD561" s="1044"/>
      <c r="CE561" s="1044"/>
      <c r="CF561" s="1044"/>
      <c r="CG561" s="1044"/>
      <c r="CH561" s="1044"/>
      <c r="CI561" s="1044"/>
      <c r="CJ561" s="1044"/>
      <c r="CK561" s="1044"/>
      <c r="CL561" s="1044"/>
      <c r="CM561" s="1044"/>
      <c r="CN561" s="1044"/>
      <c r="CO561" s="1044"/>
      <c r="CP561" s="1044"/>
      <c r="CQ561" s="1044"/>
      <c r="CR561" s="1044"/>
      <c r="CS561" s="1044"/>
      <c r="CT561" s="1044"/>
      <c r="CU561" s="1044"/>
      <c r="CV561" s="1044"/>
      <c r="CW561" s="1044"/>
      <c r="CX561" s="1044"/>
      <c r="CY561" s="1044"/>
      <c r="CZ561" s="1044"/>
      <c r="DA561" s="1044"/>
      <c r="DB561" s="1044"/>
      <c r="DC561" s="1044"/>
      <c r="DD561" s="1044"/>
      <c r="DE561" s="1044"/>
      <c r="DF561" s="1044"/>
      <c r="DG561" s="1044"/>
      <c r="DH561" s="1044"/>
      <c r="DI561" s="1044"/>
      <c r="DJ561" s="1044"/>
      <c r="DK561" s="1044"/>
      <c r="DL561" s="1044"/>
      <c r="DM561" s="1044"/>
      <c r="DN561" s="1044"/>
      <c r="DO561" s="1044"/>
      <c r="DP561" s="1044"/>
      <c r="DQ561" s="1044"/>
      <c r="DR561" s="1044"/>
      <c r="DS561" s="1044"/>
      <c r="DT561" s="1044"/>
      <c r="DU561" s="1044"/>
      <c r="DV561" s="1044"/>
      <c r="DW561" s="1044"/>
      <c r="DX561" s="1044"/>
      <c r="DY561" s="1044"/>
      <c r="DZ561" s="1044"/>
      <c r="EA561" s="1044"/>
      <c r="EB561" s="1044"/>
      <c r="EC561" s="1044"/>
      <c r="ED561" s="1044"/>
      <c r="EE561" s="1044"/>
      <c r="EF561" s="1044"/>
      <c r="EG561" s="1044"/>
      <c r="EH561" s="1044"/>
      <c r="EI561" s="1044"/>
      <c r="EJ561" s="1044"/>
      <c r="EK561" s="1044"/>
      <c r="EL561" s="1044"/>
      <c r="EM561" s="1044"/>
      <c r="EN561" s="1044"/>
      <c r="EO561" s="1044"/>
      <c r="EP561" s="1044"/>
      <c r="EQ561" s="1044"/>
      <c r="ER561" s="1044"/>
      <c r="ES561" s="1044"/>
      <c r="ET561" s="1044"/>
      <c r="EU561" s="1044"/>
      <c r="EV561" s="1044"/>
      <c r="EW561" s="1044"/>
      <c r="EX561" s="1044"/>
      <c r="EY561" s="1044"/>
      <c r="EZ561" s="1044"/>
      <c r="FA561" s="1044"/>
      <c r="FB561" s="1044"/>
      <c r="FC561" s="1044"/>
      <c r="FD561" s="1044"/>
      <c r="FE561" s="1044"/>
      <c r="FF561" s="1044"/>
      <c r="FG561" s="1044"/>
      <c r="FH561" s="1044"/>
      <c r="FI561" s="1044"/>
      <c r="FJ561" s="1044"/>
      <c r="FK561" s="1044"/>
      <c r="FL561" s="1044"/>
      <c r="FM561" s="1044"/>
      <c r="FN561" s="1044"/>
      <c r="FO561" s="1044"/>
      <c r="FP561" s="1044"/>
      <c r="FQ561" s="1044"/>
      <c r="FR561" s="1044"/>
      <c r="FS561" s="1044"/>
      <c r="FT561" s="1044"/>
      <c r="FU561" s="1044"/>
      <c r="FV561" s="1044"/>
      <c r="FW561" s="1044"/>
      <c r="FX561" s="1044"/>
      <c r="FY561" s="1044"/>
      <c r="FZ561" s="1044"/>
      <c r="GA561" s="1044"/>
      <c r="GB561" s="1044"/>
      <c r="GC561" s="1044"/>
      <c r="GD561" s="1044"/>
      <c r="GE561" s="1044"/>
      <c r="GF561" s="1044"/>
      <c r="GG561" s="1044"/>
      <c r="GH561" s="1044"/>
      <c r="GI561" s="1044"/>
      <c r="GJ561" s="1044"/>
      <c r="GK561" s="1044"/>
      <c r="GL561" s="1044"/>
      <c r="GM561" s="1044"/>
      <c r="GN561" s="1044"/>
      <c r="GO561" s="1044"/>
      <c r="GP561" s="1044"/>
      <c r="GQ561" s="1044"/>
      <c r="GR561" s="1044"/>
      <c r="GS561" s="1044"/>
    </row>
    <row r="661" spans="1:4" ht="12.75">
      <c r="A661" s="1085"/>
      <c r="D661" s="1085"/>
    </row>
    <row r="662" spans="1:4" ht="12.75">
      <c r="A662" s="1085"/>
      <c r="D662" s="1085"/>
    </row>
    <row r="663" spans="1:4" ht="12.75">
      <c r="A663" s="1085"/>
      <c r="D663" s="1085"/>
    </row>
    <row r="664" spans="1:4" ht="12.75">
      <c r="A664" s="1085"/>
      <c r="D664" s="1085"/>
    </row>
    <row r="665" spans="1:4" ht="12.75">
      <c r="A665" s="1085"/>
      <c r="D665" s="1085"/>
    </row>
    <row r="666" spans="1:4" ht="12.75">
      <c r="A666" s="1085"/>
      <c r="D666" s="1085"/>
    </row>
    <row r="667" spans="1:4" ht="12.75">
      <c r="A667" s="1085"/>
      <c r="D667" s="1085"/>
    </row>
    <row r="668" spans="1:4" ht="12.75">
      <c r="A668" s="1085"/>
      <c r="D668" s="1085"/>
    </row>
    <row r="669" spans="1:4" ht="12.75">
      <c r="A669" s="1085"/>
      <c r="D669" s="1085"/>
    </row>
    <row r="670" spans="1:4" ht="12.75">
      <c r="A670" s="1085"/>
      <c r="D670" s="1085"/>
    </row>
    <row r="671" spans="1:4" ht="12.75">
      <c r="A671" s="1085"/>
      <c r="D671" s="1085"/>
    </row>
    <row r="672" spans="1:4" ht="12.75">
      <c r="A672" s="1085"/>
      <c r="D672" s="1085"/>
    </row>
    <row r="673" spans="1:4" ht="12.75">
      <c r="A673" s="1085"/>
      <c r="D673" s="1085"/>
    </row>
    <row r="674" spans="1:4" ht="12.75">
      <c r="A674" s="1085"/>
      <c r="D674" s="1085"/>
    </row>
    <row r="675" spans="1:4" ht="12.75">
      <c r="A675" s="1085"/>
      <c r="D675" s="1085"/>
    </row>
    <row r="676" spans="1:4" ht="12.75">
      <c r="A676" s="1085"/>
      <c r="D676" s="1085"/>
    </row>
    <row r="677" spans="1:4" ht="12.75">
      <c r="A677" s="1085"/>
      <c r="D677" s="1085"/>
    </row>
    <row r="678" spans="1:4" ht="12.75">
      <c r="A678" s="1085"/>
      <c r="D678" s="1085"/>
    </row>
    <row r="679" spans="1:4" ht="12.75">
      <c r="A679" s="1085"/>
      <c r="D679" s="1085"/>
    </row>
    <row r="680" spans="1:4" ht="12.75">
      <c r="A680" s="1085"/>
      <c r="D680" s="1085"/>
    </row>
    <row r="681" spans="1:4" ht="12.75">
      <c r="A681" s="1085"/>
      <c r="D681" s="1085"/>
    </row>
    <row r="682" spans="1:4" ht="12.75">
      <c r="A682" s="1085"/>
      <c r="D682" s="1085"/>
    </row>
    <row r="683" spans="1:4" ht="12.75">
      <c r="A683" s="1085"/>
      <c r="D683" s="1085"/>
    </row>
    <row r="684" spans="1:4" ht="12.75">
      <c r="A684" s="1085"/>
      <c r="D684" s="1085"/>
    </row>
    <row r="685" spans="1:4" ht="12.75">
      <c r="A685" s="1085"/>
      <c r="D685" s="1085"/>
    </row>
    <row r="686" spans="1:4" ht="12.75">
      <c r="A686" s="1085"/>
      <c r="D686" s="1085"/>
    </row>
    <row r="687" spans="1:4" ht="12.75">
      <c r="A687" s="1085"/>
      <c r="D687" s="1085"/>
    </row>
    <row r="688" spans="1:4" ht="12.75">
      <c r="A688" s="1085"/>
      <c r="D688" s="1085"/>
    </row>
    <row r="689" spans="1:4" ht="12.75">
      <c r="A689" s="1085"/>
      <c r="D689" s="1085"/>
    </row>
    <row r="690" spans="1:4" ht="12.75">
      <c r="A690" s="1085"/>
      <c r="D690" s="1085"/>
    </row>
    <row r="691" spans="1:4" ht="12.75">
      <c r="A691" s="1085"/>
      <c r="D691" s="1085"/>
    </row>
    <row r="692" spans="1:4" ht="12.75">
      <c r="A692" s="1085"/>
      <c r="D692" s="1085"/>
    </row>
    <row r="693" spans="1:4" ht="12.75">
      <c r="A693" s="1085"/>
      <c r="D693" s="1085"/>
    </row>
    <row r="694" spans="1:4" ht="12.75">
      <c r="A694" s="1085"/>
      <c r="D694" s="1085"/>
    </row>
  </sheetData>
  <sheetProtection password="8A46" sheet="1"/>
  <mergeCells count="9">
    <mergeCell ref="A9:F9"/>
    <mergeCell ref="C522:F522"/>
    <mergeCell ref="A523:F523"/>
    <mergeCell ref="A1:F1"/>
    <mergeCell ref="A2:F2"/>
    <mergeCell ref="A3:F3"/>
    <mergeCell ref="A4:F4"/>
    <mergeCell ref="A6:F6"/>
    <mergeCell ref="A7:F7"/>
  </mergeCells>
  <dataValidations count="1">
    <dataValidation type="list" allowBlank="1" showInputMessage="1" showErrorMessage="1" sqref="B8">
      <formula1>$GM$493:$GM$522</formula1>
    </dataValidation>
  </dataValidation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scale="79" r:id="rId2"/>
  <headerFooter>
    <oddFooter>&amp;CPágina &amp;P de &amp;N&amp;RAmpliación Redes Dist. Consuelo</oddFooter>
  </headerFooter>
  <rowBreaks count="11" manualBreakCount="11">
    <brk id="58" max="5" man="1"/>
    <brk id="100" max="5" man="1"/>
    <brk id="144" max="5" man="1"/>
    <brk id="183" max="5" man="1"/>
    <brk id="229" max="5" man="1"/>
    <brk id="279" max="5" man="1"/>
    <brk id="320" max="5" man="1"/>
    <brk id="364" max="5" man="1"/>
    <brk id="409" max="5" man="1"/>
    <brk id="453" max="5" man="1"/>
    <brk id="493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JOSE-PRESUPUESTO</dc:creator>
  <cp:keywords/>
  <dc:description/>
  <cp:lastModifiedBy>Sasha María Aquino</cp:lastModifiedBy>
  <cp:lastPrinted>2021-08-23T13:03:48Z</cp:lastPrinted>
  <dcterms:created xsi:type="dcterms:W3CDTF">2006-09-01T15:53:30Z</dcterms:created>
  <dcterms:modified xsi:type="dcterms:W3CDTF">2021-08-26T20:56:11Z</dcterms:modified>
  <cp:category/>
  <cp:version/>
  <cp:contentType/>
  <cp:contentStatus/>
</cp:coreProperties>
</file>